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MosmanPark.Local\DFS\Regulatory Services\Building Services\"/>
    </mc:Choice>
  </mc:AlternateContent>
  <bookViews>
    <workbookView xWindow="0" yWindow="0" windowWidth="28800" windowHeight="12300"/>
  </bookViews>
  <sheets>
    <sheet name="Fee Calculator - Standard" sheetId="1" r:id="rId1"/>
    <sheet name="Calcs" sheetId="3" state="hidden" r:id="rId2"/>
    <sheet name="Building Approval Certificate" sheetId="7" r:id="rId3"/>
  </sheets>
  <definedNames>
    <definedName name="_xlnm.Print_Area" localSheetId="0">'Fee Calculator - Standard'!$A$1:$E$31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8" i="1" l="1"/>
  <c r="C29" i="1" l="1"/>
  <c r="B23" i="7"/>
  <c r="B21" i="7"/>
  <c r="B20" i="7"/>
  <c r="A34" i="1" l="1"/>
  <c r="E38" i="1"/>
  <c r="C38" i="1"/>
  <c r="E37" i="1"/>
  <c r="C19" i="1" l="1"/>
  <c r="C20" i="1"/>
  <c r="B14" i="7" l="1"/>
  <c r="B25" i="7" l="1"/>
  <c r="B24" i="7" l="1"/>
  <c r="B16" i="7"/>
  <c r="B15" i="7"/>
  <c r="B13" i="7"/>
  <c r="S14" i="3" l="1"/>
  <c r="S16" i="3"/>
  <c r="L30" i="3"/>
  <c r="S30" i="3" s="1"/>
  <c r="L15" i="3"/>
  <c r="S15" i="3" s="1"/>
  <c r="P26" i="3" l="1"/>
  <c r="E25" i="1"/>
  <c r="E16" i="1"/>
  <c r="P5" i="3" l="1"/>
  <c r="S5" i="3" s="1"/>
  <c r="N29" i="3" l="1"/>
  <c r="O29" i="3"/>
  <c r="P29" i="3"/>
  <c r="Q29" i="3"/>
  <c r="E18" i="1"/>
  <c r="N15" i="3"/>
  <c r="O15" i="3"/>
  <c r="P15" i="3"/>
  <c r="Q15" i="3"/>
  <c r="C16" i="1"/>
  <c r="A25" i="1"/>
  <c r="S2" i="3" l="1"/>
  <c r="Q5" i="3"/>
  <c r="P6" i="3"/>
  <c r="S6" i="3" s="1"/>
  <c r="Q6" i="3"/>
  <c r="P7" i="3"/>
  <c r="S7" i="3" s="1"/>
  <c r="Q7" i="3"/>
  <c r="P8" i="3"/>
  <c r="S8" i="3" s="1"/>
  <c r="Q8" i="3"/>
  <c r="P11" i="3"/>
  <c r="Q11" i="3"/>
  <c r="S11" i="3" s="1"/>
  <c r="C25" i="1" s="1"/>
  <c r="P12" i="3"/>
  <c r="Q12" i="3"/>
  <c r="S12" i="3" s="1"/>
  <c r="P13" i="3"/>
  <c r="Q13" i="3"/>
  <c r="S13" i="3" s="1"/>
  <c r="P18" i="3"/>
  <c r="Q18" i="3"/>
  <c r="P19" i="3"/>
  <c r="Q19" i="3"/>
  <c r="P20" i="3"/>
  <c r="Q20" i="3"/>
  <c r="P21" i="3"/>
  <c r="S21" i="3" s="1"/>
  <c r="Q21" i="3"/>
  <c r="P22" i="3"/>
  <c r="Q22" i="3"/>
  <c r="P23" i="3"/>
  <c r="Q23" i="3"/>
  <c r="Q26" i="3"/>
  <c r="P28" i="3"/>
  <c r="Q28" i="3"/>
  <c r="P30" i="3"/>
  <c r="Q30" i="3"/>
  <c r="P32" i="3"/>
  <c r="Q32" i="3"/>
  <c r="P14" i="3"/>
  <c r="Q14" i="3"/>
  <c r="P16" i="3"/>
  <c r="Q16" i="3"/>
  <c r="P24" i="3"/>
  <c r="Q24" i="3"/>
  <c r="P4" i="3"/>
  <c r="Q4" i="3"/>
  <c r="N30" i="3"/>
  <c r="N32" i="3"/>
  <c r="S32" i="3" s="1"/>
  <c r="N14" i="3"/>
  <c r="N16" i="3"/>
  <c r="N24" i="3"/>
  <c r="N4" i="3"/>
  <c r="N5" i="3"/>
  <c r="N6" i="3"/>
  <c r="N7" i="3"/>
  <c r="N8" i="3"/>
  <c r="N11" i="3"/>
  <c r="N12" i="3"/>
  <c r="N13" i="3"/>
  <c r="N18" i="3"/>
  <c r="N19" i="3"/>
  <c r="N20" i="3"/>
  <c r="S20" i="3" s="1"/>
  <c r="N21" i="3"/>
  <c r="N22" i="3"/>
  <c r="S22" i="3" s="1"/>
  <c r="N23" i="3"/>
  <c r="N26" i="3"/>
  <c r="N28" i="3"/>
  <c r="O28" i="3"/>
  <c r="O4" i="3"/>
  <c r="O5" i="3"/>
  <c r="O6" i="3"/>
  <c r="O7" i="3"/>
  <c r="O8" i="3"/>
  <c r="O11" i="3"/>
  <c r="O12" i="3"/>
  <c r="O13" i="3"/>
  <c r="O18" i="3"/>
  <c r="O19" i="3"/>
  <c r="S19" i="3" s="1"/>
  <c r="O20" i="3"/>
  <c r="O21" i="3"/>
  <c r="O22" i="3"/>
  <c r="O23" i="3"/>
  <c r="S23" i="3" s="1"/>
  <c r="O26" i="3"/>
  <c r="S26" i="3" s="1"/>
  <c r="D35" i="1" s="1"/>
  <c r="O30" i="3"/>
  <c r="O32" i="3"/>
  <c r="O14" i="3"/>
  <c r="O16" i="3"/>
  <c r="O24" i="3"/>
  <c r="C34" i="1" l="1"/>
  <c r="S4" i="3"/>
  <c r="S24" i="3"/>
  <c r="D18" i="1" s="1"/>
  <c r="S18" i="3"/>
  <c r="S9" i="3"/>
  <c r="C12" i="1" s="1"/>
  <c r="D26" i="1"/>
  <c r="D17" i="1"/>
  <c r="S31" i="3"/>
  <c r="T26" i="3"/>
  <c r="T4" i="3"/>
  <c r="C13" i="1" l="1"/>
  <c r="C39" i="1"/>
  <c r="D27" i="1"/>
  <c r="E27" i="1" s="1"/>
  <c r="D36" i="1"/>
  <c r="E36" i="1" s="1"/>
  <c r="E19" i="1"/>
  <c r="D21" i="1"/>
  <c r="E17" i="1"/>
  <c r="E20" i="1"/>
  <c r="T9" i="3"/>
  <c r="E12" i="1" s="1"/>
  <c r="E26" i="1"/>
  <c r="D30" i="1" l="1"/>
  <c r="D39" i="1"/>
  <c r="C40" i="1" s="1"/>
  <c r="C21" i="1"/>
  <c r="C22" i="1" s="1"/>
  <c r="E28" i="1"/>
  <c r="C30" i="1"/>
  <c r="E29" i="1"/>
  <c r="C31" i="1" l="1"/>
</calcChain>
</file>

<file path=xl/sharedStrings.xml><?xml version="1.0" encoding="utf-8"?>
<sst xmlns="http://schemas.openxmlformats.org/spreadsheetml/2006/main" count="158" uniqueCount="109">
  <si>
    <t>Type of Development</t>
  </si>
  <si>
    <t>Estimated Construction/Development cost</t>
  </si>
  <si>
    <t>BCITF Levy</t>
  </si>
  <si>
    <t>Building services levy</t>
  </si>
  <si>
    <t>Total</t>
  </si>
  <si>
    <t>Planning and Development Regulations
2009</t>
  </si>
  <si>
    <t>Development application (500,001 - $2.5 Million)</t>
  </si>
  <si>
    <t>Development application ($2.5 Million - $5 Million)</t>
  </si>
  <si>
    <t>Development application ($5 Million - $21.5 Million</t>
  </si>
  <si>
    <t>Development application (more than $21.5 Million)</t>
  </si>
  <si>
    <t>Certified application for a building permit - s.16(1)(a) - Building work for a Class 1 or Class 10 building or incidental structure</t>
  </si>
  <si>
    <t>Building Act
2011 Section
149 (2)</t>
  </si>
  <si>
    <t>Certified application for a building permit - s.16(1)(a) - Building work for a Class 2 to Class 9 building or incidental structure</t>
  </si>
  <si>
    <t>Uncertified application for a building permit - s.16(1)(a)</t>
  </si>
  <si>
    <t>Application for a Demolition Permit - s.16(1)(a) - Demolition work in respect of a Class 1 or Class 10 building or incidental structure</t>
  </si>
  <si>
    <t>Application for a Demolition Permit - s.16(1)(a) - Demolition work in respect of a Class 2 to Class 9 building</t>
  </si>
  <si>
    <t>Application to extend the time during which a demolition permit has effect - s.32(3)(f)</t>
  </si>
  <si>
    <t>Building Services Levy - Occupancy permit</t>
  </si>
  <si>
    <t>Building Services Levy - Occupancy permit - Unauthorised building</t>
  </si>
  <si>
    <t>Building Services Levy - Building approval certificate</t>
  </si>
  <si>
    <t>BCITF</t>
  </si>
  <si>
    <t>Sub totals</t>
  </si>
  <si>
    <t>NO</t>
  </si>
  <si>
    <t>Building Permit and Planning Application - Fee Calculator</t>
  </si>
  <si>
    <t>MUNICIPAL</t>
  </si>
  <si>
    <t>TRUST</t>
  </si>
  <si>
    <t>Verge construction permit fee - Building</t>
  </si>
  <si>
    <t>Verge construction permit fee - Demo</t>
  </si>
  <si>
    <t>BCITF paid separately</t>
  </si>
  <si>
    <t>Application includes swimming pool</t>
  </si>
  <si>
    <t>Rate in dollar</t>
  </si>
  <si>
    <t>Fee Comes From</t>
  </si>
  <si>
    <t>Fee For</t>
  </si>
  <si>
    <t>Building Services Levy - Building permit</t>
  </si>
  <si>
    <t>Building Services Levy - Demolition permit</t>
  </si>
  <si>
    <t>Building Services Levy - Unauthorised building certificate</t>
  </si>
  <si>
    <t>Base / Min Fee</t>
  </si>
  <si>
    <t>Fee Rates</t>
  </si>
  <si>
    <t>Calculated Fee</t>
  </si>
  <si>
    <t>(2) Base Fee if value less than, rate in $ if more than</t>
  </si>
  <si>
    <t>(1) Base Fee applies if value is more than</t>
  </si>
  <si>
    <t>Development application (up  to $500,000)</t>
  </si>
  <si>
    <t>(4) Base Fee is Min Fee</t>
  </si>
  <si>
    <t>Fee Calculations</t>
  </si>
  <si>
    <t>(1)</t>
  </si>
  <si>
    <t>(2)</t>
  </si>
  <si>
    <t>(3)</t>
  </si>
  <si>
    <t>(4)</t>
  </si>
  <si>
    <t>Applicable Development Application Fee</t>
  </si>
  <si>
    <t>PLANNING APPLICATION</t>
  </si>
  <si>
    <t>Planning Application Fee</t>
  </si>
  <si>
    <t>Fee Code</t>
  </si>
  <si>
    <t>DA3</t>
  </si>
  <si>
    <t>DA4</t>
  </si>
  <si>
    <t>DA5</t>
  </si>
  <si>
    <t>Type of Building Permit Application</t>
  </si>
  <si>
    <t>Building Application Fees</t>
  </si>
  <si>
    <t>Building Services Levy</t>
  </si>
  <si>
    <t>Planning Application Fees</t>
  </si>
  <si>
    <t>Building and Construction Industry Training Fund</t>
  </si>
  <si>
    <t>Verge Construction Permit Fees</t>
  </si>
  <si>
    <t>Demolition Application Fee</t>
  </si>
  <si>
    <t>DPR</t>
  </si>
  <si>
    <t>DPC</t>
  </si>
  <si>
    <t>Verge construction permit fee - Pool but less than $50k value of works</t>
  </si>
  <si>
    <t>BPCR</t>
  </si>
  <si>
    <t>BPUA</t>
  </si>
  <si>
    <t>Number of street or park frontages</t>
  </si>
  <si>
    <t>Completed pre-inspection checklist for VCP</t>
  </si>
  <si>
    <t>(3) Rate in dollar applies after, plus base fee</t>
  </si>
  <si>
    <t>Applicable VCP Fee  (highest of possible fees)</t>
  </si>
  <si>
    <t>CERTIFIED</t>
  </si>
  <si>
    <t>Single Residential (Classes 1 &amp; 10)</t>
  </si>
  <si>
    <t>BPCC</t>
  </si>
  <si>
    <t>VCP</t>
  </si>
  <si>
    <t>(5) Custom Formula</t>
  </si>
  <si>
    <t>5 - min fee if pool = yes</t>
  </si>
  <si>
    <t>5 - base fee times floor</t>
  </si>
  <si>
    <t>Inspection Fee (per inspection)</t>
  </si>
  <si>
    <t>Fee Formula To Use</t>
  </si>
  <si>
    <t>Fee Formula Variables</t>
  </si>
  <si>
    <r>
      <t>Number of Stories</t>
    </r>
    <r>
      <rPr>
        <sz val="9"/>
        <color theme="1"/>
        <rFont val="Calibri"/>
        <family val="2"/>
        <scheme val="minor"/>
      </rPr>
      <t xml:space="preserve"> (Residential enter 1)</t>
    </r>
  </si>
  <si>
    <t>Application for Building approval certificate for building in respect of which unauthorised work has been done s.51(3)</t>
  </si>
  <si>
    <t>Building Service Levy - Building approval certificate</t>
  </si>
  <si>
    <t>Building Service Levy - Unauthorised building certificate &lt; $45,000</t>
  </si>
  <si>
    <t>Building Service Levy - Unauthorised building certificate &gt; $45,000</t>
  </si>
  <si>
    <t>Occupancy Permits - Building permit fee and BSL levy:</t>
  </si>
  <si>
    <t>Application for an occupancy permit for a completed building - s.46</t>
  </si>
  <si>
    <t>Application for a temporary occupancy permit for an incomplete building - s.47</t>
  </si>
  <si>
    <t>Application for a replacement occupancy permit for permanent change of the building's use, classification - s.49</t>
  </si>
  <si>
    <t>Building Service Levy - Occupancy permit</t>
  </si>
  <si>
    <t>Building Service Levy - Occupancy permit - Unauthorised building</t>
  </si>
  <si>
    <t>Application for Modification of an occupancy permit for additional use of building on a temporary basis - s.48</t>
  </si>
  <si>
    <t>Building Permit fee and BSL Levy Calculator</t>
  </si>
  <si>
    <t xml:space="preserve">Building Approval Certificate </t>
  </si>
  <si>
    <t>BUILDING APPROVAL CERTIFICATE</t>
  </si>
  <si>
    <t>NA</t>
  </si>
  <si>
    <t>Application of an occupancy permit for a building, in respect of which unauthorised work has been done - s51(2)</t>
  </si>
  <si>
    <t>Infrastructure Protection Bond - Demolition</t>
  </si>
  <si>
    <t>Verge Inspection Fee</t>
  </si>
  <si>
    <t>if under $50,000 applicable for pools only</t>
  </si>
  <si>
    <t>Infrastructure Protection Bond - construction</t>
  </si>
  <si>
    <t>Infrastructure Protection Bond - pool</t>
  </si>
  <si>
    <t>BCIT</t>
  </si>
  <si>
    <t>SWIMMING POOL APPLICATION (ONLY)</t>
  </si>
  <si>
    <t>BUILDING PERMIT (WITH AND WITHOUT SWIMMING POOLS)</t>
  </si>
  <si>
    <t>DEMOLITION PERMIT (Number of Storeys apply for Class 2-9 only)</t>
  </si>
  <si>
    <r>
      <t xml:space="preserve">Number of Storeys </t>
    </r>
    <r>
      <rPr>
        <b/>
        <sz val="12"/>
        <color theme="1"/>
        <rFont val="Calibri"/>
        <family val="2"/>
        <scheme val="minor"/>
      </rPr>
      <t>(Residential enter 1)</t>
    </r>
  </si>
  <si>
    <t>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</si>
</sst>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;[Red]\-&quot;$&quot;#,##0.00"/>
    <numFmt numFmtId="44" formatCode="_-&quot;$&quot;* #,##0.00_-;\-&quot;$&quot;* #,##0.00_-;_-&quot;$&quot;* &quot;-&quot;??_-;_-@_-"/>
    <numFmt numFmtId="164" formatCode="0.000%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8"/>
      <color theme="1"/>
      <name val="Arial"/>
      <family val="2"/>
    </font>
    <font>
      <b/>
      <sz val="13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3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b/>
      <u val="singleAccounting"/>
      <sz val="11"/>
      <color theme="7"/>
      <name val="Calibri"/>
      <family val="2"/>
      <scheme val="minor"/>
    </font>
    <font>
      <b/>
      <sz val="11"/>
      <color theme="7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8B8B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7">
    <xf numFmtId="0" fontId="0" fillId="0" borderId="0" xfId="0"/>
    <xf numFmtId="0" fontId="0" fillId="0" borderId="0" xfId="0" applyAlignment="1">
      <alignment wrapText="1"/>
    </xf>
    <xf numFmtId="44" fontId="0" fillId="0" borderId="0" xfId="1" applyFont="1"/>
    <xf numFmtId="164" fontId="0" fillId="0" borderId="0" xfId="2" applyNumberFormat="1" applyFont="1"/>
    <xf numFmtId="0" fontId="12" fillId="0" borderId="0" xfId="0" applyFont="1"/>
    <xf numFmtId="0" fontId="0" fillId="0" borderId="0" xfId="0" applyFont="1" applyAlignment="1">
      <alignment wrapText="1"/>
    </xf>
    <xf numFmtId="44" fontId="11" fillId="7" borderId="0" xfId="1" applyFont="1" applyFill="1"/>
    <xf numFmtId="44" fontId="10" fillId="7" borderId="0" xfId="1" applyFont="1" applyFill="1" applyAlignment="1">
      <alignment wrapText="1"/>
    </xf>
    <xf numFmtId="164" fontId="10" fillId="7" borderId="0" xfId="2" applyNumberFormat="1" applyFont="1" applyFill="1" applyAlignment="1">
      <alignment wrapText="1"/>
    </xf>
    <xf numFmtId="44" fontId="10" fillId="7" borderId="0" xfId="1" applyFont="1" applyFill="1" applyAlignment="1">
      <alignment horizontal="center"/>
    </xf>
    <xf numFmtId="0" fontId="10" fillId="7" borderId="4" xfId="0" applyFont="1" applyFill="1" applyBorder="1" applyAlignment="1">
      <alignment wrapText="1"/>
    </xf>
    <xf numFmtId="49" fontId="13" fillId="7" borderId="0" xfId="1" applyNumberFormat="1" applyFont="1" applyFill="1" applyAlignment="1">
      <alignment wrapText="1"/>
    </xf>
    <xf numFmtId="44" fontId="12" fillId="0" borderId="0" xfId="1" applyFont="1"/>
    <xf numFmtId="44" fontId="10" fillId="7" borderId="0" xfId="0" applyNumberFormat="1" applyFont="1" applyFill="1" applyAlignment="1">
      <alignment wrapText="1"/>
    </xf>
    <xf numFmtId="0" fontId="10" fillId="7" borderId="0" xfId="0" applyFont="1" applyFill="1" applyAlignment="1">
      <alignment wrapText="1"/>
    </xf>
    <xf numFmtId="0" fontId="17" fillId="7" borderId="0" xfId="0" applyFont="1" applyFill="1" applyAlignment="1">
      <alignment wrapText="1"/>
    </xf>
    <xf numFmtId="0" fontId="3" fillId="0" borderId="0" xfId="0" applyFont="1" applyBorder="1" applyAlignment="1" applyProtection="1">
      <alignment wrapText="1"/>
    </xf>
    <xf numFmtId="49" fontId="16" fillId="0" borderId="0" xfId="0" applyNumberFormat="1" applyFont="1" applyProtection="1"/>
    <xf numFmtId="0" fontId="0" fillId="0" borderId="0" xfId="0" applyProtection="1"/>
    <xf numFmtId="0" fontId="2" fillId="0" borderId="0" xfId="0" applyFont="1" applyProtection="1"/>
    <xf numFmtId="0" fontId="2" fillId="0" borderId="0" xfId="0" applyFont="1" applyFill="1" applyBorder="1" applyProtection="1"/>
    <xf numFmtId="0" fontId="4" fillId="0" borderId="0" xfId="0" applyFont="1" applyFill="1" applyBorder="1" applyProtection="1"/>
    <xf numFmtId="0" fontId="4" fillId="0" borderId="0" xfId="0" applyFont="1" applyFill="1" applyBorder="1" applyAlignment="1" applyProtection="1">
      <alignment horizontal="right"/>
    </xf>
    <xf numFmtId="0" fontId="9" fillId="0" borderId="0" xfId="0" applyFont="1" applyFill="1" applyBorder="1" applyAlignment="1" applyProtection="1">
      <alignment horizontal="right"/>
    </xf>
    <xf numFmtId="0" fontId="9" fillId="0" borderId="0" xfId="0" applyFont="1" applyFill="1" applyBorder="1" applyProtection="1"/>
    <xf numFmtId="44" fontId="9" fillId="2" borderId="0" xfId="1" applyFont="1" applyFill="1" applyBorder="1" applyAlignment="1" applyProtection="1"/>
    <xf numFmtId="44" fontId="9" fillId="4" borderId="0" xfId="1" applyFont="1" applyFill="1" applyBorder="1" applyAlignment="1" applyProtection="1"/>
    <xf numFmtId="0" fontId="15" fillId="0" borderId="0" xfId="0" applyFont="1" applyFill="1" applyBorder="1" applyAlignment="1" applyProtection="1">
      <alignment horizontal="right"/>
    </xf>
    <xf numFmtId="0" fontId="14" fillId="0" borderId="0" xfId="0" applyFont="1" applyFill="1" applyBorder="1" applyAlignment="1" applyProtection="1">
      <alignment horizontal="right"/>
    </xf>
    <xf numFmtId="44" fontId="6" fillId="3" borderId="0" xfId="0" applyNumberFormat="1" applyFont="1" applyFill="1" applyBorder="1" applyAlignment="1" applyProtection="1"/>
    <xf numFmtId="44" fontId="6" fillId="5" borderId="0" xfId="0" applyNumberFormat="1" applyFont="1" applyFill="1" applyBorder="1" applyAlignment="1" applyProtection="1"/>
    <xf numFmtId="0" fontId="2" fillId="0" borderId="0" xfId="0" applyFont="1" applyBorder="1" applyProtection="1"/>
    <xf numFmtId="0" fontId="4" fillId="0" borderId="0" xfId="0" applyFont="1" applyBorder="1" applyProtection="1"/>
    <xf numFmtId="0" fontId="4" fillId="0" borderId="0" xfId="0" applyFont="1" applyBorder="1" applyAlignment="1" applyProtection="1">
      <alignment horizontal="right"/>
    </xf>
    <xf numFmtId="0" fontId="9" fillId="0" borderId="0" xfId="0" applyFont="1" applyBorder="1" applyAlignment="1" applyProtection="1">
      <alignment horizontal="right"/>
    </xf>
    <xf numFmtId="0" fontId="9" fillId="0" borderId="0" xfId="0" applyFont="1" applyBorder="1" applyProtection="1"/>
    <xf numFmtId="0" fontId="15" fillId="0" borderId="0" xfId="0" applyFont="1" applyBorder="1" applyAlignment="1" applyProtection="1">
      <alignment horizontal="right"/>
    </xf>
    <xf numFmtId="0" fontId="5" fillId="0" borderId="0" xfId="0" applyFont="1" applyBorder="1" applyProtection="1"/>
    <xf numFmtId="0" fontId="5" fillId="0" borderId="0" xfId="0" applyFont="1" applyFill="1" applyBorder="1" applyAlignment="1" applyProtection="1">
      <alignment horizontal="right"/>
    </xf>
    <xf numFmtId="0" fontId="0" fillId="0" borderId="0" xfId="0" applyFill="1" applyProtection="1"/>
    <xf numFmtId="0" fontId="10" fillId="7" borderId="0" xfId="0" applyFont="1" applyFill="1" applyAlignment="1">
      <alignment horizontal="center" wrapText="1"/>
    </xf>
    <xf numFmtId="49" fontId="8" fillId="0" borderId="0" xfId="0" applyNumberFormat="1" applyFont="1" applyAlignment="1" applyProtection="1">
      <alignment vertical="center"/>
    </xf>
    <xf numFmtId="0" fontId="8" fillId="0" borderId="0" xfId="0" applyNumberFormat="1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1" fontId="0" fillId="0" borderId="0" xfId="2" applyNumberFormat="1" applyFont="1" applyAlignment="1">
      <alignment wrapText="1"/>
    </xf>
    <xf numFmtId="0" fontId="0" fillId="0" borderId="0" xfId="0" applyAlignment="1">
      <alignment vertical="center" wrapText="1"/>
    </xf>
    <xf numFmtId="0" fontId="12" fillId="0" borderId="0" xfId="0" applyFont="1" applyAlignment="1">
      <alignment vertical="center"/>
    </xf>
    <xf numFmtId="44" fontId="0" fillId="0" borderId="3" xfId="1" applyFont="1" applyBorder="1" applyAlignment="1" applyProtection="1">
      <alignment vertical="center"/>
      <protection locked="0"/>
    </xf>
    <xf numFmtId="164" fontId="0" fillId="0" borderId="3" xfId="2" applyNumberFormat="1" applyFont="1" applyBorder="1" applyAlignment="1" applyProtection="1">
      <alignment vertical="center"/>
      <protection locked="0"/>
    </xf>
    <xf numFmtId="164" fontId="0" fillId="0" borderId="0" xfId="2" applyNumberFormat="1" applyFont="1" applyAlignment="1">
      <alignment vertical="center"/>
    </xf>
    <xf numFmtId="44" fontId="0" fillId="0" borderId="0" xfId="1" applyFont="1" applyAlignment="1">
      <alignment vertical="center"/>
    </xf>
    <xf numFmtId="44" fontId="12" fillId="0" borderId="0" xfId="1" applyFont="1" applyAlignment="1">
      <alignment vertical="center"/>
    </xf>
    <xf numFmtId="44" fontId="0" fillId="0" borderId="0" xfId="1" applyFont="1" applyAlignment="1">
      <alignment vertical="center" wrapText="1"/>
    </xf>
    <xf numFmtId="44" fontId="0" fillId="9" borderId="0" xfId="1" applyFont="1" applyFill="1" applyAlignment="1">
      <alignment vertical="center"/>
    </xf>
    <xf numFmtId="44" fontId="12" fillId="9" borderId="0" xfId="1" applyFont="1" applyFill="1" applyAlignment="1">
      <alignment vertical="center"/>
    </xf>
    <xf numFmtId="44" fontId="0" fillId="9" borderId="0" xfId="1" applyFont="1" applyFill="1" applyBorder="1" applyAlignment="1">
      <alignment vertical="center"/>
    </xf>
    <xf numFmtId="8" fontId="0" fillId="0" borderId="0" xfId="0" applyNumberFormat="1" applyAlignment="1">
      <alignment vertical="center" wrapText="1"/>
    </xf>
    <xf numFmtId="44" fontId="0" fillId="0" borderId="3" xfId="1" applyFont="1" applyBorder="1" applyAlignment="1">
      <alignment vertical="center"/>
    </xf>
    <xf numFmtId="164" fontId="0" fillId="0" borderId="3" xfId="2" applyNumberFormat="1" applyFont="1" applyBorder="1" applyAlignment="1">
      <alignment vertical="center"/>
    </xf>
    <xf numFmtId="164" fontId="0" fillId="0" borderId="0" xfId="2" applyNumberFormat="1" applyFont="1" applyAlignment="1" applyProtection="1">
      <alignment vertical="center"/>
    </xf>
    <xf numFmtId="1" fontId="19" fillId="7" borderId="0" xfId="2" applyNumberFormat="1" applyFont="1" applyFill="1" applyAlignment="1">
      <alignment wrapText="1"/>
    </xf>
    <xf numFmtId="1" fontId="0" fillId="10" borderId="3" xfId="2" applyNumberFormat="1" applyFont="1" applyFill="1" applyBorder="1" applyAlignment="1" applyProtection="1">
      <alignment horizontal="center" vertical="center" wrapText="1"/>
      <protection locked="0"/>
    </xf>
    <xf numFmtId="44" fontId="20" fillId="7" borderId="0" xfId="1" applyFont="1" applyFill="1" applyAlignment="1">
      <alignment wrapText="1"/>
    </xf>
    <xf numFmtId="0" fontId="2" fillId="6" borderId="5" xfId="0" applyFont="1" applyFill="1" applyBorder="1" applyAlignment="1" applyProtection="1">
      <alignment horizontal="right"/>
      <protection locked="0"/>
    </xf>
    <xf numFmtId="0" fontId="8" fillId="6" borderId="5" xfId="0" applyFont="1" applyFill="1" applyBorder="1" applyAlignment="1" applyProtection="1">
      <alignment horizontal="right"/>
      <protection locked="0"/>
    </xf>
    <xf numFmtId="44" fontId="2" fillId="6" borderId="1" xfId="1" applyFont="1" applyFill="1" applyBorder="1" applyAlignment="1" applyProtection="1">
      <alignment horizontal="right"/>
      <protection locked="0"/>
    </xf>
    <xf numFmtId="0" fontId="2" fillId="6" borderId="5" xfId="1" applyNumberFormat="1" applyFont="1" applyFill="1" applyBorder="1" applyAlignment="1" applyProtection="1">
      <alignment horizontal="right"/>
      <protection locked="0"/>
    </xf>
    <xf numFmtId="0" fontId="2" fillId="6" borderId="7" xfId="1" applyNumberFormat="1" applyFont="1" applyFill="1" applyBorder="1" applyAlignment="1" applyProtection="1">
      <alignment horizontal="right"/>
      <protection locked="0"/>
    </xf>
    <xf numFmtId="0" fontId="2" fillId="6" borderId="9" xfId="1" applyNumberFormat="1" applyFont="1" applyFill="1" applyBorder="1" applyAlignment="1" applyProtection="1">
      <alignment horizontal="right"/>
      <protection locked="0"/>
    </xf>
    <xf numFmtId="0" fontId="0" fillId="0" borderId="0" xfId="0" applyFont="1" applyFill="1" applyBorder="1" applyAlignment="1" applyProtection="1">
      <alignment vertical="top" wrapText="1"/>
    </xf>
    <xf numFmtId="44" fontId="0" fillId="0" borderId="0" xfId="0" applyNumberFormat="1"/>
    <xf numFmtId="44" fontId="0" fillId="0" borderId="0" xfId="0" applyNumberFormat="1" applyAlignment="1"/>
    <xf numFmtId="0" fontId="21" fillId="0" borderId="0" xfId="0" applyFont="1" applyAlignment="1">
      <alignment horizontal="left" vertical="center"/>
    </xf>
    <xf numFmtId="0" fontId="21" fillId="0" borderId="0" xfId="0" applyFont="1" applyFill="1" applyBorder="1" applyProtection="1"/>
    <xf numFmtId="0" fontId="9" fillId="0" borderId="0" xfId="0" applyFont="1" applyProtection="1"/>
    <xf numFmtId="44" fontId="7" fillId="0" borderId="0" xfId="0" applyNumberFormat="1" applyFont="1" applyBorder="1" applyAlignment="1" applyProtection="1"/>
    <xf numFmtId="0" fontId="7" fillId="0" borderId="0" xfId="0" applyFont="1" applyBorder="1" applyAlignment="1" applyProtection="1"/>
    <xf numFmtId="0" fontId="3" fillId="0" borderId="0" xfId="0" applyFont="1" applyBorder="1" applyAlignment="1" applyProtection="1">
      <alignment horizontal="center" vertical="center" wrapText="1"/>
    </xf>
    <xf numFmtId="0" fontId="2" fillId="6" borderId="5" xfId="0" applyFont="1" applyFill="1" applyBorder="1" applyAlignment="1" applyProtection="1">
      <alignment horizontal="right"/>
      <protection locked="0"/>
    </xf>
    <xf numFmtId="0" fontId="2" fillId="6" borderId="6" xfId="0" applyFont="1" applyFill="1" applyBorder="1" applyAlignment="1" applyProtection="1">
      <alignment horizontal="right"/>
      <protection locked="0"/>
    </xf>
    <xf numFmtId="0" fontId="8" fillId="6" borderId="5" xfId="0" applyFont="1" applyFill="1" applyBorder="1" applyAlignment="1" applyProtection="1">
      <alignment horizontal="right"/>
      <protection locked="0"/>
    </xf>
    <xf numFmtId="0" fontId="8" fillId="6" borderId="6" xfId="0" applyFont="1" applyFill="1" applyBorder="1" applyAlignment="1" applyProtection="1">
      <alignment horizontal="right"/>
      <protection locked="0"/>
    </xf>
    <xf numFmtId="44" fontId="2" fillId="6" borderId="1" xfId="1" applyFont="1" applyFill="1" applyBorder="1" applyAlignment="1" applyProtection="1">
      <alignment horizontal="right"/>
      <protection locked="0"/>
    </xf>
    <xf numFmtId="44" fontId="2" fillId="6" borderId="2" xfId="1" applyFont="1" applyFill="1" applyBorder="1" applyAlignment="1" applyProtection="1">
      <alignment horizontal="right"/>
      <protection locked="0"/>
    </xf>
    <xf numFmtId="0" fontId="2" fillId="6" borderId="5" xfId="1" applyNumberFormat="1" applyFont="1" applyFill="1" applyBorder="1" applyAlignment="1" applyProtection="1">
      <alignment horizontal="right"/>
      <protection locked="0"/>
    </xf>
    <xf numFmtId="0" fontId="2" fillId="6" borderId="6" xfId="1" applyNumberFormat="1" applyFont="1" applyFill="1" applyBorder="1" applyAlignment="1" applyProtection="1">
      <alignment horizontal="right"/>
      <protection locked="0"/>
    </xf>
    <xf numFmtId="0" fontId="2" fillId="6" borderId="7" xfId="1" applyNumberFormat="1" applyFont="1" applyFill="1" applyBorder="1" applyAlignment="1" applyProtection="1">
      <alignment horizontal="right"/>
      <protection locked="0"/>
    </xf>
    <xf numFmtId="0" fontId="2" fillId="6" borderId="8" xfId="1" applyNumberFormat="1" applyFont="1" applyFill="1" applyBorder="1" applyAlignment="1" applyProtection="1">
      <alignment horizontal="right"/>
      <protection locked="0"/>
    </xf>
    <xf numFmtId="0" fontId="2" fillId="6" borderId="9" xfId="1" applyNumberFormat="1" applyFont="1" applyFill="1" applyBorder="1" applyAlignment="1" applyProtection="1">
      <alignment horizontal="right"/>
      <protection locked="0"/>
    </xf>
    <xf numFmtId="0" fontId="2" fillId="6" borderId="10" xfId="1" applyNumberFormat="1" applyFont="1" applyFill="1" applyBorder="1" applyAlignment="1" applyProtection="1">
      <alignment horizontal="right"/>
      <protection locked="0"/>
    </xf>
    <xf numFmtId="0" fontId="0" fillId="9" borderId="0" xfId="0" applyFill="1" applyBorder="1" applyAlignment="1">
      <alignment horizontal="right" vertical="center" wrapText="1"/>
    </xf>
    <xf numFmtId="44" fontId="18" fillId="7" borderId="0" xfId="1" applyFont="1" applyFill="1" applyBorder="1" applyAlignment="1">
      <alignment horizontal="center"/>
    </xf>
    <xf numFmtId="44" fontId="13" fillId="7" borderId="4" xfId="1" applyFont="1" applyFill="1" applyBorder="1" applyAlignment="1">
      <alignment horizontal="center"/>
    </xf>
    <xf numFmtId="0" fontId="10" fillId="7" borderId="0" xfId="0" applyFont="1" applyFill="1" applyAlignment="1">
      <alignment horizontal="center" wrapText="1"/>
    </xf>
    <xf numFmtId="44" fontId="10" fillId="7" borderId="4" xfId="1" applyFont="1" applyFill="1" applyBorder="1" applyAlignment="1">
      <alignment horizontal="center"/>
    </xf>
    <xf numFmtId="0" fontId="10" fillId="8" borderId="0" xfId="0" applyFont="1" applyFill="1" applyAlignment="1">
      <alignment horizontal="center" wrapText="1"/>
    </xf>
    <xf numFmtId="0" fontId="10" fillId="8" borderId="0" xfId="0" applyFont="1" applyFill="1" applyAlignment="1">
      <alignment horizontal="center" vertical="center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8B8B"/>
      <color rgb="FFC5D9F1"/>
      <color rgb="FFC5F7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66675</xdr:colOff>
      <xdr:row>0</xdr:row>
      <xdr:rowOff>133350</xdr:rowOff>
    </xdr:from>
    <xdr:to>
      <xdr:col>3</xdr:col>
      <xdr:colOff>1142004</xdr:colOff>
      <xdr:row>0</xdr:row>
      <xdr:rowOff>773443</xdr:rowOff>
    </xdr:to>
    <xdr:pic>
      <xdr:nvPicPr>
        <xdr:cNvPr id="8" name="Picture 7" descr="crest1-use this one!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81475" y="133350"/>
          <a:ext cx="2475504" cy="64009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0</xdr:row>
      <xdr:rowOff>114300</xdr:rowOff>
    </xdr:from>
    <xdr:to>
      <xdr:col>7</xdr:col>
      <xdr:colOff>1028700</xdr:colOff>
      <xdr:row>1</xdr:row>
      <xdr:rowOff>600075</xdr:rowOff>
    </xdr:to>
    <xdr:cxnSp macro="">
      <xdr:nvCxnSpPr>
        <xdr:cNvPr id="6" name="Elbow Connector 5"/>
        <xdr:cNvCxnSpPr/>
      </xdr:nvCxnSpPr>
      <xdr:spPr>
        <a:xfrm flipV="1">
          <a:off x="7886700" y="114300"/>
          <a:ext cx="1143000" cy="704850"/>
        </a:xfrm>
        <a:prstGeom prst="bentConnector3">
          <a:avLst>
            <a:gd name="adj1" fmla="val 6667"/>
          </a:avLst>
        </a:prstGeom>
        <a:ln>
          <a:tailEnd type="triangle"/>
        </a:ln>
      </xdr:spPr>
      <xdr:style>
        <a:lnRef idx="1">
          <a:schemeClr val="accent4"/>
        </a:lnRef>
        <a:fillRef idx="0">
          <a:schemeClr val="accent4"/>
        </a:fillRef>
        <a:effectRef idx="0">
          <a:schemeClr val="accent4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1771650</xdr:colOff>
      <xdr:row>0</xdr:row>
      <xdr:rowOff>458097</xdr:rowOff>
    </xdr:to>
    <xdr:pic>
      <xdr:nvPicPr>
        <xdr:cNvPr id="2" name="Picture 1" descr="crest1-use this one!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76675" y="0"/>
          <a:ext cx="1771650" cy="4580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F40"/>
  <sheetViews>
    <sheetView tabSelected="1" zoomScaleNormal="100" workbookViewId="0">
      <selection activeCell="C4" sqref="C4:D4"/>
    </sheetView>
  </sheetViews>
  <sheetFormatPr defaultColWidth="9.140625" defaultRowHeight="15" x14ac:dyDescent="0.25"/>
  <cols>
    <col min="1" max="1" width="65.140625" style="18" bestFit="1" customWidth="1"/>
    <col min="2" max="2" width="3.5703125" style="18" customWidth="1"/>
    <col min="3" max="4" width="21" style="18" customWidth="1"/>
    <col min="5" max="5" width="9.140625" style="17"/>
    <col min="6" max="6" width="36.42578125" style="18" bestFit="1" customWidth="1"/>
    <col min="7" max="16384" width="9.140625" style="18"/>
  </cols>
  <sheetData>
    <row r="1" spans="1:5" ht="69" customHeight="1" x14ac:dyDescent="0.35">
      <c r="A1" s="16" t="s">
        <v>23</v>
      </c>
      <c r="B1" s="16"/>
      <c r="C1" s="77"/>
      <c r="D1" s="77"/>
    </row>
    <row r="2" spans="1:5" ht="18" thickBot="1" x14ac:dyDescent="0.35">
      <c r="A2" s="19"/>
      <c r="B2" s="19"/>
      <c r="C2" s="19"/>
      <c r="D2" s="19"/>
    </row>
    <row r="3" spans="1:5" ht="17.25" x14ac:dyDescent="0.3">
      <c r="A3" s="20" t="s">
        <v>1</v>
      </c>
      <c r="B3" s="20"/>
      <c r="C3" s="82">
        <v>200000</v>
      </c>
      <c r="D3" s="83"/>
    </row>
    <row r="4" spans="1:5" ht="17.25" x14ac:dyDescent="0.3">
      <c r="A4" s="20" t="s">
        <v>0</v>
      </c>
      <c r="B4" s="20"/>
      <c r="C4" s="80" t="s">
        <v>72</v>
      </c>
      <c r="D4" s="81"/>
    </row>
    <row r="5" spans="1:5" ht="17.25" x14ac:dyDescent="0.3">
      <c r="A5" s="20" t="s">
        <v>55</v>
      </c>
      <c r="B5" s="20"/>
      <c r="C5" s="78" t="s">
        <v>71</v>
      </c>
      <c r="D5" s="79"/>
    </row>
    <row r="6" spans="1:5" ht="17.25" x14ac:dyDescent="0.3">
      <c r="A6" s="20" t="s">
        <v>29</v>
      </c>
      <c r="B6" s="20"/>
      <c r="C6" s="84" t="s">
        <v>108</v>
      </c>
      <c r="D6" s="85"/>
    </row>
    <row r="7" spans="1:5" ht="17.25" x14ac:dyDescent="0.3">
      <c r="A7" s="20" t="s">
        <v>107</v>
      </c>
      <c r="B7" s="20"/>
      <c r="C7" s="88">
        <v>3</v>
      </c>
      <c r="D7" s="89"/>
    </row>
    <row r="8" spans="1:5" ht="17.25" hidden="1" x14ac:dyDescent="0.3">
      <c r="A8" s="20" t="s">
        <v>67</v>
      </c>
      <c r="B8" s="20"/>
      <c r="C8" s="84">
        <v>2</v>
      </c>
      <c r="D8" s="85"/>
    </row>
    <row r="9" spans="1:5" ht="18" thickBot="1" x14ac:dyDescent="0.35">
      <c r="A9" s="20" t="s">
        <v>28</v>
      </c>
      <c r="B9" s="20"/>
      <c r="C9" s="86" t="s">
        <v>22</v>
      </c>
      <c r="D9" s="87"/>
    </row>
    <row r="10" spans="1:5" ht="17.25" x14ac:dyDescent="0.3">
      <c r="A10" s="20"/>
      <c r="B10" s="20"/>
      <c r="C10" s="20"/>
      <c r="D10" s="20"/>
    </row>
    <row r="11" spans="1:5" ht="17.25" x14ac:dyDescent="0.3">
      <c r="A11" s="21" t="s">
        <v>49</v>
      </c>
      <c r="B11" s="21"/>
      <c r="C11" s="22" t="s">
        <v>24</v>
      </c>
      <c r="D11" s="22" t="s">
        <v>25</v>
      </c>
    </row>
    <row r="12" spans="1:5" x14ac:dyDescent="0.25">
      <c r="A12" s="23" t="s">
        <v>50</v>
      </c>
      <c r="B12" s="24"/>
      <c r="C12" s="25">
        <f>IF(C3&lt;&gt;0,Calcs!S9,"")</f>
        <v>640</v>
      </c>
      <c r="D12" s="26"/>
      <c r="E12" s="41" t="str">
        <f>Calcs!T9</f>
        <v>DA2</v>
      </c>
    </row>
    <row r="13" spans="1:5" ht="21" x14ac:dyDescent="0.35">
      <c r="A13" s="27" t="s">
        <v>21</v>
      </c>
      <c r="B13" s="28"/>
      <c r="C13" s="29">
        <f>C12</f>
        <v>640</v>
      </c>
      <c r="D13" s="30"/>
      <c r="E13" s="41"/>
    </row>
    <row r="14" spans="1:5" ht="17.25" x14ac:dyDescent="0.3">
      <c r="A14" s="20"/>
      <c r="B14" s="20"/>
      <c r="C14" s="31"/>
      <c r="D14" s="31"/>
      <c r="E14" s="41"/>
    </row>
    <row r="15" spans="1:5" ht="17.25" x14ac:dyDescent="0.3">
      <c r="A15" s="32" t="s">
        <v>106</v>
      </c>
      <c r="B15" s="31"/>
      <c r="C15" s="33" t="s">
        <v>24</v>
      </c>
      <c r="D15" s="33" t="s">
        <v>25</v>
      </c>
      <c r="E15" s="41"/>
    </row>
    <row r="16" spans="1:5" x14ac:dyDescent="0.25">
      <c r="A16" s="34" t="s">
        <v>61</v>
      </c>
      <c r="B16" s="35"/>
      <c r="C16" s="25">
        <f>IF(C3&lt;&gt;0,IF(C8="DEMOLITION PERMIT",IF(#REF!="Single Residential (Classes 1 &amp; 10)",Calcs!S13,Calcs!S14),Calcs!S15),"")</f>
        <v>330</v>
      </c>
      <c r="D16" s="26"/>
      <c r="E16" s="42" t="str">
        <f>IF(C3&lt;&gt;0,IF(C5="CERTIFIED",IF(C4="Single Residential (Classes 1 &amp; 10)",Calcs!T14,Calcs!T15),Calcs!T16),"")</f>
        <v>DPR</v>
      </c>
    </row>
    <row r="17" spans="1:6" x14ac:dyDescent="0.25">
      <c r="A17" s="34" t="s">
        <v>2</v>
      </c>
      <c r="B17" s="35"/>
      <c r="C17" s="25"/>
      <c r="D17" s="26">
        <f>IF(AND(C3&lt;&gt;0,C9="NO"),Calcs!S26,"")</f>
        <v>400</v>
      </c>
      <c r="E17" s="43" t="str">
        <f>IF(D17&lt;&gt;0,"BCTI","")</f>
        <v>BCTI</v>
      </c>
    </row>
    <row r="18" spans="1:6" x14ac:dyDescent="0.25">
      <c r="A18" s="34" t="s">
        <v>3</v>
      </c>
      <c r="B18" s="35"/>
      <c r="C18" s="25"/>
      <c r="D18" s="26">
        <f>IF(C3&lt;&gt;0,Calcs!S24,"")</f>
        <v>274</v>
      </c>
      <c r="E18" s="43" t="str">
        <f>IF(C10&gt;=45000,"SLD1","SLD2")</f>
        <v>SLD2</v>
      </c>
    </row>
    <row r="19" spans="1:6" x14ac:dyDescent="0.25">
      <c r="A19" s="34" t="s">
        <v>98</v>
      </c>
      <c r="B19" s="35"/>
      <c r="C19" s="25">
        <f>IF(AND(C3&lt;&gt;0,C6&lt;&gt;"NO"),Calcs!S29+1000,(IF(AND(C3&lt;&gt;0,C6&lt;&gt;"yes"),Calcs!S29,"")))</f>
        <v>2500</v>
      </c>
      <c r="D19" s="26"/>
      <c r="E19" s="43" t="str">
        <f>IF(C19&lt;&gt;0,"VCP","")</f>
        <v>VCP</v>
      </c>
    </row>
    <row r="20" spans="1:6" x14ac:dyDescent="0.25">
      <c r="A20" s="34" t="s">
        <v>99</v>
      </c>
      <c r="B20" s="35"/>
      <c r="C20" s="25">
        <f>200</f>
        <v>200</v>
      </c>
      <c r="D20" s="26"/>
      <c r="E20" s="43" t="str">
        <f>IF(C20&lt;&gt;0,"ADMI","")</f>
        <v>ADMI</v>
      </c>
    </row>
    <row r="21" spans="1:6" ht="21" x14ac:dyDescent="0.35">
      <c r="A21" s="36" t="s">
        <v>21</v>
      </c>
      <c r="B21" s="37"/>
      <c r="C21" s="29">
        <f>IF(C3&lt;&gt;0,SUM(C16:C20),"")</f>
        <v>3030</v>
      </c>
      <c r="D21" s="30">
        <f>IF(C3&lt;&gt;0,SUM(D16:D20),"")</f>
        <v>674</v>
      </c>
      <c r="E21" s="41"/>
    </row>
    <row r="22" spans="1:6" ht="17.25" x14ac:dyDescent="0.3">
      <c r="A22" s="36" t="s">
        <v>4</v>
      </c>
      <c r="B22" s="31"/>
      <c r="C22" s="75">
        <f>IF(C3&lt;&gt;0,SUM(C21:D21),"")</f>
        <v>3704</v>
      </c>
      <c r="D22" s="76"/>
      <c r="E22" s="41"/>
    </row>
    <row r="23" spans="1:6" ht="17.25" x14ac:dyDescent="0.3">
      <c r="A23" s="20"/>
      <c r="B23" s="20"/>
      <c r="C23" s="31"/>
      <c r="D23" s="31"/>
      <c r="E23" s="41"/>
    </row>
    <row r="24" spans="1:6" ht="17.25" x14ac:dyDescent="0.3">
      <c r="A24" s="21" t="s">
        <v>105</v>
      </c>
      <c r="B24" s="21"/>
      <c r="C24" s="33" t="s">
        <v>24</v>
      </c>
      <c r="D24" s="33" t="s">
        <v>25</v>
      </c>
      <c r="E24" s="41"/>
    </row>
    <row r="25" spans="1:6" x14ac:dyDescent="0.25">
      <c r="A25" s="23" t="str">
        <f>CONCATENATE("Building Application Fee - ",IF(FIND("Single",C4)=1,"Class 1 or 10 (","Class 2-9 ("),PROPER(C5),")")</f>
        <v>Building Application Fee - Class 1 or 10 (Certified)</v>
      </c>
      <c r="B25" s="24"/>
      <c r="C25" s="25">
        <f>IF(C3&lt;&gt;0,IF(C5="CERTIFIED",IF(C4="Single Residential (Classes 1 &amp; 10)",Calcs!S11,Calcs!S12),Calcs!S13),"")</f>
        <v>380</v>
      </c>
      <c r="D25" s="26"/>
      <c r="E25" s="42" t="str">
        <f>IF(C3&lt;&gt;0,IF(C5="CERTIFIED",IF(C4="Single Residential (Classes 1 &amp; 10)",Calcs!T11,Calcs!T12),Calcs!T13),"")</f>
        <v>BPCR</v>
      </c>
    </row>
    <row r="26" spans="1:6" x14ac:dyDescent="0.25">
      <c r="A26" s="23" t="s">
        <v>2</v>
      </c>
      <c r="B26" s="24"/>
      <c r="C26" s="25"/>
      <c r="D26" s="26">
        <f>IF(AND(C3&lt;&gt;0,C9="NO"),Calcs!S26,"")</f>
        <v>400</v>
      </c>
      <c r="E26" s="41" t="str">
        <f>Calcs!T26</f>
        <v>BCIT</v>
      </c>
    </row>
    <row r="27" spans="1:6" x14ac:dyDescent="0.25">
      <c r="A27" s="23" t="s">
        <v>3</v>
      </c>
      <c r="B27" s="24"/>
      <c r="C27" s="25"/>
      <c r="D27" s="26">
        <f>IF(C3&lt;&gt;0,Calcs!S18,"")</f>
        <v>274</v>
      </c>
      <c r="E27" s="42" t="str">
        <f>IF(D27&lt;&gt;"",IF(C3&gt;=Calcs!I18,"SLB1","SLB2"),"")</f>
        <v>SLB1</v>
      </c>
    </row>
    <row r="28" spans="1:6" x14ac:dyDescent="0.25">
      <c r="A28" s="23" t="s">
        <v>101</v>
      </c>
      <c r="B28" s="24"/>
      <c r="C28" s="25">
        <f>IF(AND(C3&lt;&gt;0,C3&lt;50000),"",IF(AND(C3&lt;&gt;0,C6&lt;&gt;"NO",C3&gt;2000000),Calcs!S28+1000+1000,IF(AND(C3&lt;&gt;0,C6&lt;&gt;"YES",C3&gt;2000000),Calcs!S28+1000,(IF(AND(C3&lt;&gt;0,C6&lt;&gt;"NO",C3&gt;=50000,C3&lt;=2000000),Calcs!S28+1000,(IF(AND(C3&lt;&gt;0,C6&lt;&gt;"YES",C3&gt;=50000,C3&lt;=2000000),Calcs!S28,(IF(AND(C3&lt;&gt;0,C6&lt;&gt;"yes",C3&gt;=2000000),Calcs!S28+1000,(IF(AND(C3&lt;&gt;0,C6&lt;&gt;"NO",C3&gt;=50000,C3&lt;=2000000),Calcs!S28+1000,"")))))))))))</f>
        <v>3000</v>
      </c>
      <c r="D28" s="26"/>
      <c r="E28" s="43" t="str">
        <f>IF(C28&lt;&gt;0,"VCP","")</f>
        <v>VCP</v>
      </c>
      <c r="F28" s="74" t="s">
        <v>100</v>
      </c>
    </row>
    <row r="29" spans="1:6" x14ac:dyDescent="0.25">
      <c r="A29" s="23" t="s">
        <v>99</v>
      </c>
      <c r="B29" s="24"/>
      <c r="C29" s="25">
        <f>IF(C3&lt;50000,"",200)</f>
        <v>200</v>
      </c>
      <c r="D29" s="26"/>
      <c r="E29" s="43" t="str">
        <f>IF(C29&lt;&gt;0,"ADMI","")</f>
        <v>ADMI</v>
      </c>
      <c r="F29" s="74" t="s">
        <v>100</v>
      </c>
    </row>
    <row r="30" spans="1:6" ht="21" x14ac:dyDescent="0.35">
      <c r="A30" s="28" t="s">
        <v>21</v>
      </c>
      <c r="B30" s="28"/>
      <c r="C30" s="29">
        <f>IF(C3&lt;&gt;0,SUM(C25:C29),"")</f>
        <v>3580</v>
      </c>
      <c r="D30" s="30">
        <f>IF(C3&lt;&gt;0,SUM(D25:D29),"")</f>
        <v>674</v>
      </c>
      <c r="E30" s="41"/>
    </row>
    <row r="31" spans="1:6" ht="21" x14ac:dyDescent="0.35">
      <c r="A31" s="38" t="s">
        <v>4</v>
      </c>
      <c r="B31" s="38"/>
      <c r="C31" s="75">
        <f>IF(C3&lt;&gt;0,SUM(C30:D30),"")</f>
        <v>4254</v>
      </c>
      <c r="D31" s="76"/>
    </row>
    <row r="32" spans="1:6" x14ac:dyDescent="0.25">
      <c r="A32" s="39"/>
      <c r="B32" s="39"/>
    </row>
    <row r="33" spans="1:6" ht="17.25" x14ac:dyDescent="0.3">
      <c r="A33" s="21" t="s">
        <v>104</v>
      </c>
      <c r="B33" s="21"/>
      <c r="C33" s="33" t="s">
        <v>24</v>
      </c>
      <c r="D33" s="33" t="s">
        <v>25</v>
      </c>
      <c r="E33" s="41"/>
    </row>
    <row r="34" spans="1:6" x14ac:dyDescent="0.25">
      <c r="A34" s="23" t="str">
        <f>CONCATENATE("Building Application Fee - ",IF(FIND("Single",C4)=1,"Class 1 or 10 (","Class 2-9 ("),PROPER(C5),")")</f>
        <v>Building Application Fee - Class 1 or 10 (Certified)</v>
      </c>
      <c r="B34" s="24"/>
      <c r="C34" s="25">
        <f>IF(C3&lt;&gt;0,IF(C5="CERTIFIED",IF(C4="Single Residential (Classes 1 &amp; 10)",Calcs!S11,Calcs!S12),Calcs!S13),"")</f>
        <v>380</v>
      </c>
      <c r="D34" s="26"/>
      <c r="E34" s="42" t="s">
        <v>65</v>
      </c>
    </row>
    <row r="35" spans="1:6" x14ac:dyDescent="0.25">
      <c r="A35" s="23" t="s">
        <v>2</v>
      </c>
      <c r="B35" s="24"/>
      <c r="C35" s="25"/>
      <c r="D35" s="26">
        <f>IF(AND(C3&lt;&gt;0,C9="NO"),Calcs!S26,"")</f>
        <v>400</v>
      </c>
      <c r="E35" s="41" t="s">
        <v>103</v>
      </c>
    </row>
    <row r="36" spans="1:6" x14ac:dyDescent="0.25">
      <c r="A36" s="23" t="s">
        <v>3</v>
      </c>
      <c r="B36" s="24"/>
      <c r="C36" s="25"/>
      <c r="D36" s="26">
        <f>IF(C3&lt;&gt;0,Calcs!S18,"")</f>
        <v>274</v>
      </c>
      <c r="E36" s="42" t="str">
        <f>IF(D36&lt;&gt;"",IF(C12&gt;=Calcs!I27,"SLB1","SLB2"),"")</f>
        <v>SLB1</v>
      </c>
    </row>
    <row r="37" spans="1:6" x14ac:dyDescent="0.25">
      <c r="A37" s="23" t="s">
        <v>102</v>
      </c>
      <c r="B37" s="24"/>
      <c r="C37" s="25">
        <v>1000</v>
      </c>
      <c r="D37" s="26"/>
      <c r="E37" s="43" t="str">
        <f>IF(C37&lt;&gt;0,"VCP","")</f>
        <v>VCP</v>
      </c>
      <c r="F37" s="74" t="s">
        <v>100</v>
      </c>
    </row>
    <row r="38" spans="1:6" x14ac:dyDescent="0.25">
      <c r="A38" s="23" t="s">
        <v>99</v>
      </c>
      <c r="B38" s="24"/>
      <c r="C38" s="25">
        <f>200</f>
        <v>200</v>
      </c>
      <c r="D38" s="26"/>
      <c r="E38" s="43" t="str">
        <f>IF(C38&lt;&gt;0,"ADMI","")</f>
        <v>ADMI</v>
      </c>
      <c r="F38" s="74" t="s">
        <v>100</v>
      </c>
    </row>
    <row r="39" spans="1:6" ht="21" x14ac:dyDescent="0.35">
      <c r="A39" s="28" t="s">
        <v>21</v>
      </c>
      <c r="B39" s="28"/>
      <c r="C39" s="29">
        <f>IF(C12&lt;&gt;0,SUM(C34:C38),"")</f>
        <v>1580</v>
      </c>
      <c r="D39" s="30">
        <f>IF(C12&lt;&gt;0,SUM(D34:D38),"")</f>
        <v>674</v>
      </c>
      <c r="E39" s="41"/>
    </row>
    <row r="40" spans="1:6" ht="21" x14ac:dyDescent="0.35">
      <c r="A40" s="38" t="s">
        <v>4</v>
      </c>
      <c r="B40" s="38"/>
      <c r="C40" s="75">
        <f>IF(C12&lt;&gt;0,SUM(C39:D39),"")</f>
        <v>2254</v>
      </c>
      <c r="D40" s="76"/>
    </row>
  </sheetData>
  <sheetProtection selectLockedCells="1"/>
  <mergeCells count="11">
    <mergeCell ref="C40:D40"/>
    <mergeCell ref="C1:D1"/>
    <mergeCell ref="C31:D31"/>
    <mergeCell ref="C5:D5"/>
    <mergeCell ref="C4:D4"/>
    <mergeCell ref="C3:D3"/>
    <mergeCell ref="C8:D8"/>
    <mergeCell ref="C9:D9"/>
    <mergeCell ref="C6:D6"/>
    <mergeCell ref="C22:D22"/>
    <mergeCell ref="C7:D7"/>
  </mergeCells>
  <dataValidations count="6">
    <dataValidation type="list" showInputMessage="1" showErrorMessage="1" sqref="C5:D5">
      <formula1>"CERTIFIED, UNCERTIFIED"</formula1>
    </dataValidation>
    <dataValidation type="list" allowBlank="1" showInputMessage="1" showErrorMessage="1" sqref="C4:D4">
      <formula1>"Single Residential (Classes 1 &amp; 10), Non-Single Residential inc. Commercial (Classes 2 to 9)"</formula1>
    </dataValidation>
    <dataValidation type="list" allowBlank="1" showInputMessage="1" showErrorMessage="1" sqref="C6:D6 C9">
      <formula1>"NO, YES"</formula1>
    </dataValidation>
    <dataValidation type="list" allowBlank="1" showInputMessage="1" showErrorMessage="1" sqref="C8:D8">
      <formula1>"1,2,3"</formula1>
    </dataValidation>
    <dataValidation type="decimal" showInputMessage="1" showErrorMessage="1" errorTitle="Invalid estimated value" error="Please enter a value greater than $0.00" sqref="C3:D3">
      <formula1>0</formula1>
      <formula2>100000000</formula2>
    </dataValidation>
    <dataValidation type="whole" allowBlank="1" showInputMessage="1" showErrorMessage="1" sqref="C7:D7">
      <formula1>1</formula1>
      <formula2>25</formula2>
    </dataValidation>
  </dataValidations>
  <pageMargins left="0.25" right="0.25" top="0.75" bottom="0.75" header="0.3" footer="0.3"/>
  <pageSetup paperSize="9" scale="94" fitToHeight="0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T32"/>
  <sheetViews>
    <sheetView showGridLines="0" workbookViewId="0">
      <pane ySplit="2" topLeftCell="A3" activePane="bottomLeft" state="frozen"/>
      <selection pane="bottomLeft" activeCell="D11" sqref="D11"/>
    </sheetView>
  </sheetViews>
  <sheetFormatPr defaultRowHeight="29.25" customHeight="1" outlineLevelCol="1" x14ac:dyDescent="0.25"/>
  <cols>
    <col min="1" max="1" width="29.85546875" style="1" customWidth="1"/>
    <col min="2" max="2" width="40.28515625" style="4" customWidth="1"/>
    <col min="3" max="3" width="2" style="1" customWidth="1"/>
    <col min="4" max="4" width="17.5703125" style="2" customWidth="1"/>
    <col min="5" max="5" width="17.28515625" style="3" customWidth="1"/>
    <col min="6" max="6" width="11" style="44" customWidth="1"/>
    <col min="7" max="7" width="2" style="3" customWidth="1"/>
    <col min="8" max="12" width="17.28515625" style="2" customWidth="1"/>
    <col min="13" max="13" width="2" style="2" customWidth="1"/>
    <col min="14" max="17" width="17.28515625" style="12" hidden="1" customWidth="1" outlineLevel="1"/>
    <col min="18" max="18" width="2" style="2" customWidth="1" collapsed="1"/>
    <col min="19" max="19" width="17.28515625" customWidth="1"/>
    <col min="20" max="20" width="14.7109375" bestFit="1" customWidth="1"/>
  </cols>
  <sheetData>
    <row r="1" spans="1:20" ht="17.25" x14ac:dyDescent="0.4">
      <c r="A1" s="15"/>
      <c r="B1" s="93" t="s">
        <v>31</v>
      </c>
      <c r="C1" s="40"/>
      <c r="D1" s="94" t="s">
        <v>37</v>
      </c>
      <c r="E1" s="94"/>
      <c r="F1" s="94"/>
      <c r="G1" s="9"/>
      <c r="H1" s="91" t="s">
        <v>80</v>
      </c>
      <c r="I1" s="91"/>
      <c r="J1" s="91"/>
      <c r="K1" s="91"/>
      <c r="L1" s="91"/>
      <c r="M1" s="6"/>
      <c r="N1" s="92" t="s">
        <v>43</v>
      </c>
      <c r="O1" s="92"/>
      <c r="P1" s="92"/>
      <c r="Q1" s="92"/>
      <c r="R1" s="6"/>
      <c r="S1" s="10" t="s">
        <v>38</v>
      </c>
      <c r="T1" s="10" t="s">
        <v>51</v>
      </c>
    </row>
    <row r="2" spans="1:20" s="5" customFormat="1" ht="60" x14ac:dyDescent="0.25">
      <c r="A2" s="14" t="s">
        <v>32</v>
      </c>
      <c r="B2" s="93"/>
      <c r="C2" s="40"/>
      <c r="D2" s="7" t="s">
        <v>36</v>
      </c>
      <c r="E2" s="8" t="s">
        <v>30</v>
      </c>
      <c r="F2" s="60" t="s">
        <v>79</v>
      </c>
      <c r="G2" s="8"/>
      <c r="H2" s="62" t="s">
        <v>40</v>
      </c>
      <c r="I2" s="62" t="s">
        <v>39</v>
      </c>
      <c r="J2" s="62" t="s">
        <v>69</v>
      </c>
      <c r="K2" s="62" t="s">
        <v>42</v>
      </c>
      <c r="L2" s="62" t="s">
        <v>75</v>
      </c>
      <c r="M2" s="7"/>
      <c r="N2" s="11" t="s">
        <v>44</v>
      </c>
      <c r="O2" s="11" t="s">
        <v>45</v>
      </c>
      <c r="P2" s="11" t="s">
        <v>46</v>
      </c>
      <c r="Q2" s="11" t="s">
        <v>47</v>
      </c>
      <c r="R2" s="7"/>
      <c r="S2" s="13">
        <f>'Fee Calculator - Standard'!C3</f>
        <v>200000</v>
      </c>
      <c r="T2" s="13"/>
    </row>
    <row r="3" spans="1:20" s="5" customFormat="1" ht="15" x14ac:dyDescent="0.25">
      <c r="A3" s="95" t="s">
        <v>58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</row>
    <row r="4" spans="1:20" ht="29.25" customHeight="1" x14ac:dyDescent="0.25">
      <c r="A4" s="45" t="s">
        <v>41</v>
      </c>
      <c r="B4" s="46" t="s">
        <v>5</v>
      </c>
      <c r="C4" s="45"/>
      <c r="D4" s="47">
        <v>147</v>
      </c>
      <c r="E4" s="48">
        <v>3.2000000000000002E-3</v>
      </c>
      <c r="F4" s="61">
        <v>2</v>
      </c>
      <c r="G4" s="49"/>
      <c r="H4" s="47"/>
      <c r="I4" s="47">
        <v>50000</v>
      </c>
      <c r="J4" s="47"/>
      <c r="K4" s="47"/>
      <c r="L4" s="47"/>
      <c r="M4" s="50"/>
      <c r="N4" s="51">
        <f>ROUND(IF('Fee Calculator - Standard'!C$3&gt;H4,D4,0),2)</f>
        <v>147</v>
      </c>
      <c r="O4" s="51">
        <f>ROUND(IF('Fee Calculator - Standard'!C$3&gt;I4,'Fee Calculator - Standard'!C$3*E4,D4),2)</f>
        <v>640</v>
      </c>
      <c r="P4" s="51">
        <f>(INT('Fee Calculator - Standard'!C$3-J4)*E4)+D4</f>
        <v>787</v>
      </c>
      <c r="Q4" s="51">
        <f>ROUND(MAX(D4, 'Fee Calculator - Standard'!C$3*E4),2)</f>
        <v>640</v>
      </c>
      <c r="R4" s="50"/>
      <c r="S4" s="50">
        <f t="shared" ref="S4:S7" si="0">IF(F4=0,D4,IF(F4=1,N4,IF(F4=2,O4,IF(F4=3,P4,IF(F4=4,Q4,L4)))))</f>
        <v>640</v>
      </c>
      <c r="T4" s="50" t="str">
        <f>IF(S2&lt;I4,"DA1","DA2")</f>
        <v>DA2</v>
      </c>
    </row>
    <row r="5" spans="1:20" ht="29.25" customHeight="1" x14ac:dyDescent="0.25">
      <c r="A5" s="45" t="s">
        <v>6</v>
      </c>
      <c r="B5" s="46" t="s">
        <v>5</v>
      </c>
      <c r="C5" s="45"/>
      <c r="D5" s="47">
        <v>1700</v>
      </c>
      <c r="E5" s="48">
        <v>2.5699999999999998E-3</v>
      </c>
      <c r="F5" s="61">
        <v>3</v>
      </c>
      <c r="G5" s="49"/>
      <c r="H5" s="47"/>
      <c r="I5" s="47"/>
      <c r="J5" s="47">
        <v>500000</v>
      </c>
      <c r="K5" s="47"/>
      <c r="L5" s="47"/>
      <c r="M5" s="50"/>
      <c r="N5" s="51">
        <f>ROUND(IF('Fee Calculator - Standard'!C$3&gt;H5,D5,0),2)</f>
        <v>1700</v>
      </c>
      <c r="O5" s="51">
        <f>ROUND(IF('Fee Calculator - Standard'!C$3&gt;I5,'Fee Calculator - Standard'!C$3*E5,D5),2)</f>
        <v>514</v>
      </c>
      <c r="P5" s="51">
        <f>(INT('Fee Calculator - Standard'!C$3-J5)*E5)+D5</f>
        <v>929.00000000000011</v>
      </c>
      <c r="Q5" s="51">
        <f>ROUND(MAX(D5, 'Fee Calculator - Standard'!C$3*E5),2)</f>
        <v>1700</v>
      </c>
      <c r="R5" s="50"/>
      <c r="S5" s="50">
        <f t="shared" si="0"/>
        <v>929.00000000000011</v>
      </c>
      <c r="T5" s="50" t="s">
        <v>52</v>
      </c>
    </row>
    <row r="6" spans="1:20" ht="29.25" customHeight="1" x14ac:dyDescent="0.25">
      <c r="A6" s="45" t="s">
        <v>7</v>
      </c>
      <c r="B6" s="46" t="s">
        <v>5</v>
      </c>
      <c r="C6" s="45"/>
      <c r="D6" s="47">
        <v>7161</v>
      </c>
      <c r="E6" s="48">
        <v>2.0600000000000002E-3</v>
      </c>
      <c r="F6" s="61">
        <v>3</v>
      </c>
      <c r="G6" s="49"/>
      <c r="H6" s="47"/>
      <c r="I6" s="47"/>
      <c r="J6" s="47">
        <v>2500000</v>
      </c>
      <c r="K6" s="47"/>
      <c r="L6" s="47"/>
      <c r="M6" s="50"/>
      <c r="N6" s="51">
        <f>ROUND(IF('Fee Calculator - Standard'!C$3&gt;H6,D6,0),2)</f>
        <v>7161</v>
      </c>
      <c r="O6" s="51">
        <f>ROUND(IF('Fee Calculator - Standard'!C$3&gt;I6,'Fee Calculator - Standard'!C$3*E6,D6),2)</f>
        <v>412</v>
      </c>
      <c r="P6" s="51">
        <f>(INT('Fee Calculator - Standard'!C$3-J6)*E6)+D6</f>
        <v>2422.9999999999991</v>
      </c>
      <c r="Q6" s="51">
        <f>ROUND(MAX(D6, 'Fee Calculator - Standard'!C$3*E6),2)</f>
        <v>7161</v>
      </c>
      <c r="R6" s="50"/>
      <c r="S6" s="50">
        <f t="shared" si="0"/>
        <v>2422.9999999999991</v>
      </c>
      <c r="T6" s="50" t="s">
        <v>53</v>
      </c>
    </row>
    <row r="7" spans="1:20" ht="29.25" customHeight="1" x14ac:dyDescent="0.25">
      <c r="A7" s="45" t="s">
        <v>8</v>
      </c>
      <c r="B7" s="46" t="s">
        <v>5</v>
      </c>
      <c r="C7" s="45"/>
      <c r="D7" s="47">
        <v>12633</v>
      </c>
      <c r="E7" s="48">
        <v>1.23E-3</v>
      </c>
      <c r="F7" s="61">
        <v>3</v>
      </c>
      <c r="G7" s="49"/>
      <c r="H7" s="47"/>
      <c r="I7" s="47"/>
      <c r="J7" s="47">
        <v>5000000</v>
      </c>
      <c r="K7" s="47"/>
      <c r="L7" s="47"/>
      <c r="M7" s="50"/>
      <c r="N7" s="51">
        <f>ROUND(IF('Fee Calculator - Standard'!C$3&gt;H7,D7,0),2)</f>
        <v>12633</v>
      </c>
      <c r="O7" s="51">
        <f>ROUND(IF('Fee Calculator - Standard'!C$3&gt;I7,'Fee Calculator - Standard'!C$3*E7,D7),2)</f>
        <v>246</v>
      </c>
      <c r="P7" s="51">
        <f>(INT('Fee Calculator - Standard'!C$3-J7)*E7)+D7</f>
        <v>6729</v>
      </c>
      <c r="Q7" s="51">
        <f>ROUND(MAX(D7, 'Fee Calculator - Standard'!C$3*E7),2)</f>
        <v>12633</v>
      </c>
      <c r="R7" s="50"/>
      <c r="S7" s="50">
        <f t="shared" si="0"/>
        <v>6729</v>
      </c>
      <c r="T7" s="50" t="s">
        <v>53</v>
      </c>
    </row>
    <row r="8" spans="1:20" ht="29.25" customHeight="1" x14ac:dyDescent="0.25">
      <c r="A8" s="45" t="s">
        <v>9</v>
      </c>
      <c r="B8" s="46" t="s">
        <v>5</v>
      </c>
      <c r="C8" s="52"/>
      <c r="D8" s="47">
        <v>34196</v>
      </c>
      <c r="E8" s="48">
        <v>0</v>
      </c>
      <c r="F8" s="61">
        <v>3</v>
      </c>
      <c r="G8" s="49"/>
      <c r="H8" s="47"/>
      <c r="I8" s="47"/>
      <c r="J8" s="47">
        <v>21500000</v>
      </c>
      <c r="K8" s="47"/>
      <c r="L8" s="47"/>
      <c r="M8" s="50"/>
      <c r="N8" s="51">
        <f>ROUND(IF('Fee Calculator - Standard'!C$3&gt;H8,D8,0),2)</f>
        <v>34196</v>
      </c>
      <c r="O8" s="51">
        <f>ROUND(IF('Fee Calculator - Standard'!C$3&gt;I8,'Fee Calculator - Standard'!C$3*E8,D8),2)</f>
        <v>0</v>
      </c>
      <c r="P8" s="51">
        <f>(INT('Fee Calculator - Standard'!C$3-J8)*E8)+D8</f>
        <v>34196</v>
      </c>
      <c r="Q8" s="51">
        <f>ROUND(MAX(D8, 'Fee Calculator - Standard'!C$3*E8),2)</f>
        <v>34196</v>
      </c>
      <c r="R8" s="50"/>
      <c r="S8" s="50">
        <f>IF(F8=0,D8,IF(F8=1,N8,IF(F8=2,O8,IF(F8=3,P8,IF(F8=4,Q8,L8)))))</f>
        <v>34196</v>
      </c>
      <c r="T8" s="50" t="s">
        <v>54</v>
      </c>
    </row>
    <row r="9" spans="1:20" ht="21.75" customHeight="1" x14ac:dyDescent="0.25">
      <c r="A9" s="90" t="s">
        <v>48</v>
      </c>
      <c r="B9" s="90"/>
      <c r="C9" s="90"/>
      <c r="D9" s="90"/>
      <c r="E9" s="90"/>
      <c r="F9" s="90"/>
      <c r="G9" s="90"/>
      <c r="H9" s="90"/>
      <c r="I9" s="90"/>
      <c r="J9" s="90"/>
      <c r="K9" s="90"/>
      <c r="L9" s="90"/>
      <c r="M9" s="53"/>
      <c r="N9" s="54"/>
      <c r="O9" s="54"/>
      <c r="P9" s="54"/>
      <c r="Q9" s="54"/>
      <c r="R9" s="55"/>
      <c r="S9" s="53">
        <f>IF($S$2&lt;=MAX(H4:K4),D4,IF($S$2&lt;=MAX(H5:K5),S4,IF($S$2&lt;=MAX(H6:K6),S5,IF($S$2&lt;=MAX(H7:K7),S6,IF($S$2&lt;=MAX(H8:K8),S7,S8)))))</f>
        <v>640</v>
      </c>
      <c r="T9" s="53" t="str">
        <f>IF($S$2&lt;=MAX(H4:K4),"DA1",IF($S$2&lt;=MAX(H5:K5),T4,IF($S$2&lt;=MAX(H6:K6),T5,IF($S$2&lt;=MAX(H7:K7),T6,IF($S$2&lt;=MAX(H8:K8),T7,T8)))))</f>
        <v>DA2</v>
      </c>
    </row>
    <row r="10" spans="1:20" ht="15" x14ac:dyDescent="0.25">
      <c r="A10" s="96" t="s">
        <v>56</v>
      </c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</row>
    <row r="11" spans="1:20" ht="29.25" customHeight="1" x14ac:dyDescent="0.25">
      <c r="A11" s="45" t="s">
        <v>10</v>
      </c>
      <c r="B11" s="46" t="s">
        <v>11</v>
      </c>
      <c r="C11" s="45"/>
      <c r="D11" s="47">
        <v>110</v>
      </c>
      <c r="E11" s="48">
        <v>1.9E-3</v>
      </c>
      <c r="F11" s="61">
        <v>4</v>
      </c>
      <c r="G11" s="49"/>
      <c r="H11" s="47"/>
      <c r="I11" s="47"/>
      <c r="J11" s="47"/>
      <c r="K11" s="47"/>
      <c r="L11" s="47"/>
      <c r="M11" s="50"/>
      <c r="N11" s="51">
        <f>ROUND(IF('Fee Calculator - Standard'!C$3&gt;H11,D11,0),2)</f>
        <v>110</v>
      </c>
      <c r="O11" s="51">
        <f>ROUND(IF('Fee Calculator - Standard'!C$3&gt;I11,'Fee Calculator - Standard'!C$3*E11,D11),2)</f>
        <v>380</v>
      </c>
      <c r="P11" s="51">
        <f>(INT('Fee Calculator - Standard'!C$3-J11)*E11)+D11</f>
        <v>490</v>
      </c>
      <c r="Q11" s="51">
        <f>ROUND(MAX(D11, 'Fee Calculator - Standard'!C$3*E11),2)</f>
        <v>380</v>
      </c>
      <c r="R11" s="50"/>
      <c r="S11" s="50">
        <f t="shared" ref="S11:S15" si="1">IF(F11=0,D11,IF(F11=1,N11,IF(F11=2,O11,IF(F11=3,P11,IF(F11=4,Q11,L11)))))</f>
        <v>380</v>
      </c>
      <c r="T11" s="50" t="s">
        <v>65</v>
      </c>
    </row>
    <row r="12" spans="1:20" ht="29.25" customHeight="1" x14ac:dyDescent="0.25">
      <c r="A12" s="45" t="s">
        <v>12</v>
      </c>
      <c r="B12" s="46" t="s">
        <v>11</v>
      </c>
      <c r="C12" s="45"/>
      <c r="D12" s="47">
        <v>110</v>
      </c>
      <c r="E12" s="48">
        <v>8.9999999999999998E-4</v>
      </c>
      <c r="F12" s="61">
        <v>4</v>
      </c>
      <c r="G12" s="49"/>
      <c r="H12" s="47"/>
      <c r="I12" s="47"/>
      <c r="J12" s="47"/>
      <c r="K12" s="47"/>
      <c r="L12" s="47"/>
      <c r="M12" s="50"/>
      <c r="N12" s="51">
        <f>ROUND(IF('Fee Calculator - Standard'!C$3&gt;H12,D12,0),2)</f>
        <v>110</v>
      </c>
      <c r="O12" s="51">
        <f>ROUND(IF('Fee Calculator - Standard'!C$3&gt;I12,'Fee Calculator - Standard'!C$3*E12,D12),2)</f>
        <v>180</v>
      </c>
      <c r="P12" s="51">
        <f>(INT('Fee Calculator - Standard'!C$3-J12)*E12)+D12</f>
        <v>290</v>
      </c>
      <c r="Q12" s="51">
        <f>ROUND(MAX(D12, 'Fee Calculator - Standard'!C$3*E12),2)</f>
        <v>180</v>
      </c>
      <c r="R12" s="50"/>
      <c r="S12" s="50">
        <f t="shared" si="1"/>
        <v>180</v>
      </c>
      <c r="T12" s="50" t="s">
        <v>73</v>
      </c>
    </row>
    <row r="13" spans="1:20" ht="29.25" customHeight="1" x14ac:dyDescent="0.25">
      <c r="A13" s="45" t="s">
        <v>13</v>
      </c>
      <c r="B13" s="46" t="s">
        <v>11</v>
      </c>
      <c r="C13" s="45"/>
      <c r="D13" s="47">
        <v>110</v>
      </c>
      <c r="E13" s="48">
        <v>3.2000000000000002E-3</v>
      </c>
      <c r="F13" s="61">
        <v>4</v>
      </c>
      <c r="G13" s="49"/>
      <c r="H13" s="47"/>
      <c r="I13" s="47"/>
      <c r="J13" s="47"/>
      <c r="K13" s="47"/>
      <c r="L13" s="47"/>
      <c r="M13" s="50"/>
      <c r="N13" s="51">
        <f>ROUND(IF('Fee Calculator - Standard'!C$3&gt;H13,D13,0),2)</f>
        <v>110</v>
      </c>
      <c r="O13" s="51">
        <f>ROUND(IF('Fee Calculator - Standard'!C$3&gt;I13,'Fee Calculator - Standard'!C$3*E13,D13),2)</f>
        <v>640</v>
      </c>
      <c r="P13" s="51">
        <f>(INT('Fee Calculator - Standard'!C$3-J13)*E13)+D13</f>
        <v>750</v>
      </c>
      <c r="Q13" s="51">
        <f>ROUND(MAX(D13, 'Fee Calculator - Standard'!C$3*E13),2)</f>
        <v>640</v>
      </c>
      <c r="R13" s="50"/>
      <c r="S13" s="50">
        <f t="shared" si="1"/>
        <v>640</v>
      </c>
      <c r="T13" s="50" t="s">
        <v>66</v>
      </c>
    </row>
    <row r="14" spans="1:20" ht="29.25" customHeight="1" x14ac:dyDescent="0.25">
      <c r="A14" s="45" t="s">
        <v>14</v>
      </c>
      <c r="B14" s="46" t="s">
        <v>11</v>
      </c>
      <c r="C14" s="45"/>
      <c r="D14" s="47">
        <v>110</v>
      </c>
      <c r="E14" s="48"/>
      <c r="F14" s="61">
        <v>0</v>
      </c>
      <c r="G14" s="49"/>
      <c r="H14" s="47"/>
      <c r="I14" s="47"/>
      <c r="J14" s="47"/>
      <c r="K14" s="47"/>
      <c r="L14" s="47"/>
      <c r="M14" s="50"/>
      <c r="N14" s="51">
        <f>ROUND(IF('Fee Calculator - Standard'!C$3&gt;H14,D14,0),2)</f>
        <v>110</v>
      </c>
      <c r="O14" s="51">
        <f>ROUND(IF('Fee Calculator - Standard'!C$3&gt;I14,'Fee Calculator - Standard'!C$3*E14,D14),2)</f>
        <v>0</v>
      </c>
      <c r="P14" s="51">
        <f>(INT('Fee Calculator - Standard'!C$3-J14)*E14)+D14</f>
        <v>110</v>
      </c>
      <c r="Q14" s="51">
        <f>ROUND(MAX(D14, 'Fee Calculator - Standard'!C$3*E14),2)</f>
        <v>110</v>
      </c>
      <c r="R14" s="50"/>
      <c r="S14" s="50">
        <f t="shared" si="1"/>
        <v>110</v>
      </c>
      <c r="T14" s="50" t="s">
        <v>62</v>
      </c>
    </row>
    <row r="15" spans="1:20" ht="29.25" customHeight="1" x14ac:dyDescent="0.25">
      <c r="A15" s="45" t="s">
        <v>15</v>
      </c>
      <c r="B15" s="46" t="s">
        <v>11</v>
      </c>
      <c r="C15" s="45"/>
      <c r="D15" s="47">
        <v>110</v>
      </c>
      <c r="E15" s="48"/>
      <c r="F15" s="61" t="s">
        <v>77</v>
      </c>
      <c r="G15" s="49"/>
      <c r="H15" s="47"/>
      <c r="I15" s="47"/>
      <c r="J15" s="47"/>
      <c r="K15" s="47"/>
      <c r="L15" s="47">
        <f>D15*'Fee Calculator - Standard'!C7</f>
        <v>330</v>
      </c>
      <c r="M15" s="50"/>
      <c r="N15" s="51">
        <f>ROUND(IF('Fee Calculator - Standard'!C$3&gt;H15,D15,0),2)</f>
        <v>110</v>
      </c>
      <c r="O15" s="51">
        <f>ROUND(IF('Fee Calculator - Standard'!C$3&gt;I15,'Fee Calculator - Standard'!C$3*E15,D15),2)</f>
        <v>0</v>
      </c>
      <c r="P15" s="51">
        <f>(INT('Fee Calculator - Standard'!C$3-J15)*E15)+D15</f>
        <v>110</v>
      </c>
      <c r="Q15" s="51">
        <f>ROUND(MAX(D15, 'Fee Calculator - Standard'!C$3*E15),2)</f>
        <v>110</v>
      </c>
      <c r="R15" s="50"/>
      <c r="S15" s="50">
        <f t="shared" si="1"/>
        <v>330</v>
      </c>
      <c r="T15" s="50" t="s">
        <v>63</v>
      </c>
    </row>
    <row r="16" spans="1:20" ht="29.25" customHeight="1" x14ac:dyDescent="0.25">
      <c r="A16" s="45" t="s">
        <v>16</v>
      </c>
      <c r="B16" s="46" t="s">
        <v>11</v>
      </c>
      <c r="C16" s="45"/>
      <c r="D16" s="47">
        <v>110</v>
      </c>
      <c r="E16" s="48"/>
      <c r="F16" s="61">
        <v>0</v>
      </c>
      <c r="G16" s="49"/>
      <c r="H16" s="47"/>
      <c r="I16" s="47"/>
      <c r="J16" s="47"/>
      <c r="K16" s="47"/>
      <c r="L16" s="47"/>
      <c r="M16" s="50"/>
      <c r="N16" s="51">
        <f>ROUND(IF('Fee Calculator - Standard'!C$3&gt;H16,D16,0),2)</f>
        <v>110</v>
      </c>
      <c r="O16" s="51">
        <f>ROUND(IF('Fee Calculator - Standard'!C$3&gt;I16,'Fee Calculator - Standard'!C$3*E16,D16),2)</f>
        <v>0</v>
      </c>
      <c r="P16" s="51">
        <f>(INT('Fee Calculator - Standard'!C$3-J16)*E16)+D16</f>
        <v>110</v>
      </c>
      <c r="Q16" s="51">
        <f>ROUND(MAX(D16, 'Fee Calculator - Standard'!C$3*E16),2)</f>
        <v>110</v>
      </c>
      <c r="R16" s="50"/>
      <c r="S16" s="50">
        <f>IF(F16=0,D16,IF(F16=1,N16,IF(F16=2,O16,IF(F16=3,P16,IF(F16=4,Q16,L16)))))</f>
        <v>110</v>
      </c>
      <c r="T16" s="50" t="s">
        <v>62</v>
      </c>
    </row>
    <row r="17" spans="1:20" ht="15" x14ac:dyDescent="0.25">
      <c r="A17" s="96" t="s">
        <v>57</v>
      </c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6"/>
      <c r="T17" s="96"/>
    </row>
    <row r="18" spans="1:20" ht="29.25" customHeight="1" x14ac:dyDescent="0.25">
      <c r="A18" s="45" t="s">
        <v>33</v>
      </c>
      <c r="B18" s="46" t="s">
        <v>11</v>
      </c>
      <c r="C18" s="56"/>
      <c r="D18" s="47">
        <v>61.65</v>
      </c>
      <c r="E18" s="48">
        <v>1.3699999999999999E-3</v>
      </c>
      <c r="F18" s="61">
        <v>2</v>
      </c>
      <c r="G18" s="49"/>
      <c r="H18" s="47"/>
      <c r="I18" s="47">
        <v>45000</v>
      </c>
      <c r="J18" s="47"/>
      <c r="K18" s="47"/>
      <c r="L18" s="47"/>
      <c r="M18" s="50"/>
      <c r="N18" s="51">
        <f>ROUND(IF('Fee Calculator - Standard'!C$3&gt;H18,D18,0),2)</f>
        <v>61.65</v>
      </c>
      <c r="O18" s="51">
        <f>ROUND(IF('Fee Calculator - Standard'!C$3&gt;I18,'Fee Calculator - Standard'!C$3*E18,D18),2)</f>
        <v>274</v>
      </c>
      <c r="P18" s="51">
        <f>(INT('Fee Calculator - Standard'!C$3-J18)*E18)+D18</f>
        <v>335.65</v>
      </c>
      <c r="Q18" s="51">
        <f>ROUND(MAX(D18, 'Fee Calculator - Standard'!C$3*E18),2)</f>
        <v>274</v>
      </c>
      <c r="R18" s="50"/>
      <c r="S18" s="50">
        <f>IF(F18=0,D18,IF(F18=1,N18,IF(F18=2,O18,IF(F18=3,P18,IF(F18=4,Q18,L18)))))</f>
        <v>274</v>
      </c>
      <c r="T18" s="50"/>
    </row>
    <row r="19" spans="1:20" ht="29.25" customHeight="1" x14ac:dyDescent="0.25">
      <c r="A19" s="45" t="s">
        <v>34</v>
      </c>
      <c r="B19" s="46" t="s">
        <v>11</v>
      </c>
      <c r="C19" s="45"/>
      <c r="D19" s="47">
        <v>61.65</v>
      </c>
      <c r="E19" s="48">
        <v>1.3699999999999999E-3</v>
      </c>
      <c r="F19" s="61">
        <v>2</v>
      </c>
      <c r="G19" s="49"/>
      <c r="H19" s="47"/>
      <c r="I19" s="47">
        <v>45000</v>
      </c>
      <c r="J19" s="47"/>
      <c r="K19" s="47"/>
      <c r="L19" s="47"/>
      <c r="M19" s="50"/>
      <c r="N19" s="51">
        <f>ROUND(IF('Fee Calculator - Standard'!C$3&gt;H19,D19,0),2)</f>
        <v>61.65</v>
      </c>
      <c r="O19" s="51">
        <f>ROUND(IF('Fee Calculator - Standard'!C$3&gt;I19,'Fee Calculator - Standard'!C$3*E19,D19),2)</f>
        <v>274</v>
      </c>
      <c r="P19" s="51">
        <f>(INT('Fee Calculator - Standard'!C$3-J19)*E19)+D19</f>
        <v>335.65</v>
      </c>
      <c r="Q19" s="51">
        <f>ROUND(MAX(D19, 'Fee Calculator - Standard'!C$3*E19),2)</f>
        <v>274</v>
      </c>
      <c r="R19" s="50"/>
      <c r="S19" s="50">
        <f t="shared" ref="S19:S30" si="2">IF(F19=0,D19,IF(F19=1,N19,IF(F19=2,O19,IF(F19=3,P19,IF(F19=4,Q19,L19)))))</f>
        <v>274</v>
      </c>
      <c r="T19" s="50"/>
    </row>
    <row r="20" spans="1:20" ht="29.25" customHeight="1" x14ac:dyDescent="0.25">
      <c r="A20" s="45" t="s">
        <v>17</v>
      </c>
      <c r="B20" s="46" t="s">
        <v>11</v>
      </c>
      <c r="C20" s="45"/>
      <c r="D20" s="47">
        <v>61.65</v>
      </c>
      <c r="E20" s="48"/>
      <c r="F20" s="61">
        <v>1</v>
      </c>
      <c r="G20" s="49"/>
      <c r="H20" s="47">
        <v>0</v>
      </c>
      <c r="I20" s="47"/>
      <c r="J20" s="47"/>
      <c r="K20" s="47"/>
      <c r="L20" s="47"/>
      <c r="M20" s="50"/>
      <c r="N20" s="51">
        <f>ROUND(IF('Fee Calculator - Standard'!C$3&gt;H20,D20,0),2)</f>
        <v>61.65</v>
      </c>
      <c r="O20" s="51">
        <f>ROUND(IF('Fee Calculator - Standard'!C$3&gt;I20,'Fee Calculator - Standard'!C$3*E20,D20),2)</f>
        <v>0</v>
      </c>
      <c r="P20" s="51">
        <f>(INT('Fee Calculator - Standard'!C$3-J20)*E20)+D20</f>
        <v>61.65</v>
      </c>
      <c r="Q20" s="51">
        <f>ROUND(MAX(D20, 'Fee Calculator - Standard'!C$3*E20),2)</f>
        <v>61.65</v>
      </c>
      <c r="R20" s="50"/>
      <c r="S20" s="50">
        <f t="shared" si="2"/>
        <v>61.65</v>
      </c>
      <c r="T20" s="50"/>
    </row>
    <row r="21" spans="1:20" ht="29.25" customHeight="1" x14ac:dyDescent="0.25">
      <c r="A21" s="45" t="s">
        <v>18</v>
      </c>
      <c r="B21" s="46" t="s">
        <v>11</v>
      </c>
      <c r="C21" s="45"/>
      <c r="D21" s="47"/>
      <c r="E21" s="48">
        <v>2.7399999999999998E-3</v>
      </c>
      <c r="F21" s="61">
        <v>3</v>
      </c>
      <c r="G21" s="49"/>
      <c r="H21" s="47"/>
      <c r="I21" s="47"/>
      <c r="J21" s="47">
        <v>0</v>
      </c>
      <c r="K21" s="47"/>
      <c r="L21" s="47"/>
      <c r="M21" s="50"/>
      <c r="N21" s="51">
        <f>ROUND(IF('Fee Calculator - Standard'!C$3&gt;H21,D21,0),2)</f>
        <v>0</v>
      </c>
      <c r="O21" s="51">
        <f>ROUND(IF('Fee Calculator - Standard'!C$3&gt;I21,'Fee Calculator - Standard'!C$3*E21,D21),2)</f>
        <v>548</v>
      </c>
      <c r="P21" s="51">
        <f>(INT('Fee Calculator - Standard'!C$3-J21)*E21)+D21</f>
        <v>548</v>
      </c>
      <c r="Q21" s="51">
        <f>ROUND(MAX(D21, 'Fee Calculator - Standard'!C$3*E21),2)</f>
        <v>548</v>
      </c>
      <c r="R21" s="50"/>
      <c r="S21" s="50">
        <f t="shared" si="2"/>
        <v>548</v>
      </c>
      <c r="T21" s="50"/>
    </row>
    <row r="22" spans="1:20" ht="29.25" customHeight="1" x14ac:dyDescent="0.25">
      <c r="A22" s="45" t="s">
        <v>19</v>
      </c>
      <c r="B22" s="46" t="s">
        <v>11</v>
      </c>
      <c r="C22" s="45"/>
      <c r="D22" s="47">
        <v>61.65</v>
      </c>
      <c r="E22" s="48"/>
      <c r="F22" s="61">
        <v>1</v>
      </c>
      <c r="G22" s="49"/>
      <c r="H22" s="47">
        <v>0</v>
      </c>
      <c r="I22" s="47"/>
      <c r="J22" s="47"/>
      <c r="K22" s="47"/>
      <c r="L22" s="47"/>
      <c r="M22" s="50"/>
      <c r="N22" s="51">
        <f>ROUND(IF('Fee Calculator - Standard'!C$3&gt;H22,D22,0),2)</f>
        <v>61.65</v>
      </c>
      <c r="O22" s="51">
        <f>ROUND(IF('Fee Calculator - Standard'!C$3&gt;I22,'Fee Calculator - Standard'!C$3*E22,D22),2)</f>
        <v>0</v>
      </c>
      <c r="P22" s="51">
        <f>(INT('Fee Calculator - Standard'!C$3-J22)*E22)+D22</f>
        <v>61.65</v>
      </c>
      <c r="Q22" s="51">
        <f>ROUND(MAX(D22, 'Fee Calculator - Standard'!C$3*E22),2)</f>
        <v>61.65</v>
      </c>
      <c r="R22" s="50"/>
      <c r="S22" s="50">
        <f t="shared" si="2"/>
        <v>61.65</v>
      </c>
      <c r="T22" s="50"/>
    </row>
    <row r="23" spans="1:20" ht="29.25" customHeight="1" x14ac:dyDescent="0.25">
      <c r="A23" s="45" t="s">
        <v>35</v>
      </c>
      <c r="B23" s="46" t="s">
        <v>11</v>
      </c>
      <c r="C23" s="45"/>
      <c r="D23" s="47">
        <v>123.3</v>
      </c>
      <c r="E23" s="48">
        <v>2.7399999999999998E-3</v>
      </c>
      <c r="F23" s="61">
        <v>2</v>
      </c>
      <c r="G23" s="49"/>
      <c r="H23" s="47"/>
      <c r="I23" s="47">
        <v>45000</v>
      </c>
      <c r="J23" s="47"/>
      <c r="K23" s="47"/>
      <c r="L23" s="47"/>
      <c r="M23" s="50"/>
      <c r="N23" s="51">
        <f>ROUND(IF('Fee Calculator - Standard'!C$3&gt;H23,D23,0),2)</f>
        <v>123.3</v>
      </c>
      <c r="O23" s="51">
        <f>ROUND(IF('Fee Calculator - Standard'!C$3&gt;I23,'Fee Calculator - Standard'!C$3*E23,D23),2)</f>
        <v>548</v>
      </c>
      <c r="P23" s="51">
        <f>(INT('Fee Calculator - Standard'!C$3-J23)*E23)+D23</f>
        <v>671.3</v>
      </c>
      <c r="Q23" s="51">
        <f>ROUND(MAX(D23, 'Fee Calculator - Standard'!C$3*E23),2)</f>
        <v>548</v>
      </c>
      <c r="R23" s="50"/>
      <c r="S23" s="50">
        <f t="shared" si="2"/>
        <v>548</v>
      </c>
      <c r="T23" s="50"/>
    </row>
    <row r="24" spans="1:20" ht="29.25" customHeight="1" x14ac:dyDescent="0.25">
      <c r="A24" s="45" t="s">
        <v>34</v>
      </c>
      <c r="B24" s="46" t="s">
        <v>11</v>
      </c>
      <c r="C24" s="45"/>
      <c r="D24" s="47">
        <v>61.65</v>
      </c>
      <c r="E24" s="48">
        <v>1.3699999999999999E-3</v>
      </c>
      <c r="F24" s="61">
        <v>2</v>
      </c>
      <c r="G24" s="49"/>
      <c r="H24" s="47"/>
      <c r="I24" s="47">
        <v>45000</v>
      </c>
      <c r="J24" s="47"/>
      <c r="K24" s="47"/>
      <c r="L24" s="47"/>
      <c r="M24" s="50"/>
      <c r="N24" s="51">
        <f>ROUND(IF('Fee Calculator - Standard'!C$3&gt;H24,D24,0),2)</f>
        <v>61.65</v>
      </c>
      <c r="O24" s="51">
        <f>ROUND(IF('Fee Calculator - Standard'!C$3&gt;I24,'Fee Calculator - Standard'!C$3*E24,D24),2)</f>
        <v>274</v>
      </c>
      <c r="P24" s="51">
        <f>(INT('Fee Calculator - Standard'!C$3-J24)*E24)+D24</f>
        <v>335.65</v>
      </c>
      <c r="Q24" s="51">
        <f>ROUND(MAX(D24, 'Fee Calculator - Standard'!C$3*E24),2)</f>
        <v>274</v>
      </c>
      <c r="R24" s="50"/>
      <c r="S24" s="50">
        <f t="shared" si="2"/>
        <v>274</v>
      </c>
      <c r="T24" s="50"/>
    </row>
    <row r="25" spans="1:20" ht="15" x14ac:dyDescent="0.25">
      <c r="A25" s="96" t="s">
        <v>59</v>
      </c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</row>
    <row r="26" spans="1:20" ht="29.25" customHeight="1" x14ac:dyDescent="0.25">
      <c r="A26" s="45" t="s">
        <v>20</v>
      </c>
      <c r="B26" s="46"/>
      <c r="C26" s="45"/>
      <c r="D26" s="57">
        <v>0</v>
      </c>
      <c r="E26" s="58">
        <v>2E-3</v>
      </c>
      <c r="F26" s="61">
        <v>2</v>
      </c>
      <c r="G26" s="49"/>
      <c r="H26" s="57"/>
      <c r="I26" s="57">
        <v>20000</v>
      </c>
      <c r="J26" s="57"/>
      <c r="K26" s="57"/>
      <c r="L26" s="57"/>
      <c r="M26" s="50"/>
      <c r="N26" s="51">
        <f>ROUND(IF('Fee Calculator - Standard'!C$3&gt;H26,D26,0),2)</f>
        <v>0</v>
      </c>
      <c r="O26" s="51">
        <f>ROUND(IF('Fee Calculator - Standard'!C$3&gt;I26,'Fee Calculator - Standard'!C$3*E26,D26),2)</f>
        <v>400</v>
      </c>
      <c r="P26" s="51">
        <f>(INT('Fee Calculator - Standard'!C$3-J26)*E26)+D26</f>
        <v>400</v>
      </c>
      <c r="Q26" s="51">
        <f>ROUND(MAX(D26, 'Fee Calculator - Standard'!C$3*E26),2)</f>
        <v>400</v>
      </c>
      <c r="R26" s="50"/>
      <c r="S26" s="50">
        <f t="shared" si="2"/>
        <v>400</v>
      </c>
      <c r="T26" s="50" t="str">
        <f>IF(S26="","","BCIT")</f>
        <v>BCIT</v>
      </c>
    </row>
    <row r="27" spans="1:20" ht="15" x14ac:dyDescent="0.25">
      <c r="A27" s="96" t="s">
        <v>60</v>
      </c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6"/>
      <c r="T27" s="96"/>
    </row>
    <row r="28" spans="1:20" ht="29.25" customHeight="1" x14ac:dyDescent="0.25">
      <c r="A28" s="45" t="s">
        <v>26</v>
      </c>
      <c r="B28" s="46"/>
      <c r="C28" s="45"/>
      <c r="D28" s="47">
        <v>700</v>
      </c>
      <c r="E28" s="48"/>
      <c r="F28" s="61">
        <v>1</v>
      </c>
      <c r="G28" s="49"/>
      <c r="H28" s="47">
        <v>50000</v>
      </c>
      <c r="I28" s="47"/>
      <c r="J28" s="47"/>
      <c r="K28" s="47"/>
      <c r="L28" s="47"/>
      <c r="M28" s="50"/>
      <c r="N28" s="51">
        <f>ROUND(IF('Fee Calculator - Standard'!C$3&gt;H28,D28,0),2)</f>
        <v>700</v>
      </c>
      <c r="O28" s="51">
        <f>ROUND(IF('Fee Calculator - Standard'!C$3&gt;I28,'Fee Calculator - Standard'!C$3*E28,D28),2)</f>
        <v>0</v>
      </c>
      <c r="P28" s="51">
        <f>(INT('Fee Calculator - Standard'!C$3-J28)*E28)+D28</f>
        <v>700</v>
      </c>
      <c r="Q28" s="51">
        <f>ROUND(MAX(D28, 'Fee Calculator - Standard'!C$3*E28),2)</f>
        <v>700</v>
      </c>
      <c r="R28" s="50"/>
      <c r="S28" s="50">
        <v>2000</v>
      </c>
      <c r="T28" s="50"/>
    </row>
    <row r="29" spans="1:20" ht="29.25" customHeight="1" x14ac:dyDescent="0.25">
      <c r="A29" s="45" t="s">
        <v>27</v>
      </c>
      <c r="B29" s="46"/>
      <c r="C29" s="45"/>
      <c r="D29" s="47">
        <v>700</v>
      </c>
      <c r="E29" s="48"/>
      <c r="F29" s="61">
        <v>1</v>
      </c>
      <c r="G29" s="59"/>
      <c r="H29" s="47">
        <v>0</v>
      </c>
      <c r="I29" s="47"/>
      <c r="J29" s="47"/>
      <c r="K29" s="47"/>
      <c r="L29" s="47"/>
      <c r="M29" s="50"/>
      <c r="N29" s="51">
        <f>ROUND(IF('Fee Calculator - Standard'!C$3&gt;H29,D29,0),2)</f>
        <v>700</v>
      </c>
      <c r="O29" s="51">
        <f>ROUND(IF('Fee Calculator - Standard'!C$3&gt;I29,'Fee Calculator - Standard'!C$3*E29,D29),2)</f>
        <v>0</v>
      </c>
      <c r="P29" s="51">
        <f>(INT('Fee Calculator - Standard'!C$3-J29)*E29)+D29</f>
        <v>700</v>
      </c>
      <c r="Q29" s="51">
        <f>ROUND(MAX(D29, 'Fee Calculator - Standard'!C$3*E29),2)</f>
        <v>700</v>
      </c>
      <c r="R29" s="50"/>
      <c r="S29" s="50">
        <v>1500</v>
      </c>
      <c r="T29" s="50"/>
    </row>
    <row r="30" spans="1:20" ht="29.25" customHeight="1" x14ac:dyDescent="0.25">
      <c r="A30" s="45" t="s">
        <v>64</v>
      </c>
      <c r="B30" s="46"/>
      <c r="C30" s="45"/>
      <c r="D30" s="47">
        <v>1000</v>
      </c>
      <c r="E30" s="48"/>
      <c r="F30" s="61" t="s">
        <v>76</v>
      </c>
      <c r="G30" s="49"/>
      <c r="H30" s="47"/>
      <c r="I30" s="47"/>
      <c r="J30" s="47"/>
      <c r="K30" s="47"/>
      <c r="L30" s="47">
        <f>IF('Fee Calculator - Standard'!C6="YES",Calcs!D30*'Fee Calculator - Standard'!C8,"")</f>
        <v>2000</v>
      </c>
      <c r="M30" s="50"/>
      <c r="N30" s="51">
        <f>ROUND(IF('Fee Calculator - Standard'!C$3&gt;H30,D30,0),2)</f>
        <v>1000</v>
      </c>
      <c r="O30" s="51">
        <f>ROUND(IF('Fee Calculator - Standard'!C$3&gt;I30,'Fee Calculator - Standard'!C$3*E30,D30),2)</f>
        <v>0</v>
      </c>
      <c r="P30" s="51">
        <f>(INT('Fee Calculator - Standard'!C$3-J30)*E30)+D30</f>
        <v>1000</v>
      </c>
      <c r="Q30" s="51">
        <f>ROUND(MAX(D30, 'Fee Calculator - Standard'!C$3*E30),2)</f>
        <v>1000</v>
      </c>
      <c r="R30" s="50"/>
      <c r="S30" s="50">
        <f t="shared" si="2"/>
        <v>2000</v>
      </c>
      <c r="T30" s="50"/>
    </row>
    <row r="31" spans="1:20" ht="29.25" customHeight="1" x14ac:dyDescent="0.25">
      <c r="A31" s="90" t="s">
        <v>70</v>
      </c>
      <c r="B31" s="90"/>
      <c r="C31" s="90"/>
      <c r="D31" s="90"/>
      <c r="E31" s="90"/>
      <c r="F31" s="90"/>
      <c r="G31" s="90"/>
      <c r="H31" s="90"/>
      <c r="I31" s="90"/>
      <c r="J31" s="90"/>
      <c r="K31" s="90"/>
      <c r="L31" s="90"/>
      <c r="M31" s="53"/>
      <c r="N31" s="54"/>
      <c r="O31" s="54"/>
      <c r="P31" s="54"/>
      <c r="Q31" s="54"/>
      <c r="R31" s="53"/>
      <c r="S31" s="53">
        <f>MAX(S28,S30)</f>
        <v>2000</v>
      </c>
      <c r="T31" s="53" t="s">
        <v>74</v>
      </c>
    </row>
    <row r="32" spans="1:20" ht="29.25" customHeight="1" x14ac:dyDescent="0.25">
      <c r="A32" s="45" t="s">
        <v>78</v>
      </c>
      <c r="B32" s="46"/>
      <c r="C32" s="45"/>
      <c r="D32" s="47">
        <v>75</v>
      </c>
      <c r="E32" s="48"/>
      <c r="F32" s="61">
        <v>1</v>
      </c>
      <c r="G32" s="59"/>
      <c r="H32" s="47">
        <v>50000</v>
      </c>
      <c r="I32" s="47"/>
      <c r="J32" s="47"/>
      <c r="K32" s="47"/>
      <c r="L32" s="47"/>
      <c r="M32" s="50"/>
      <c r="N32" s="51">
        <f>ROUND(IF('Fee Calculator - Standard'!C$3&gt;H32,D32,0),2)</f>
        <v>75</v>
      </c>
      <c r="O32" s="51">
        <f>ROUND(IF('Fee Calculator - Standard'!C$3&gt;I32,'Fee Calculator - Standard'!C$3*E32,D32),2)</f>
        <v>0</v>
      </c>
      <c r="P32" s="51">
        <f>(INT('Fee Calculator - Standard'!C$3-J32)*E32)+D32</f>
        <v>75</v>
      </c>
      <c r="Q32" s="51">
        <f>ROUND(MAX(D32, 'Fee Calculator - Standard'!C$3*E32),2)</f>
        <v>75</v>
      </c>
      <c r="R32" s="50"/>
      <c r="S32" s="50">
        <f t="shared" ref="S32" si="3">IF(F32=1,N32,IF(F32=2,O32,IF(F32=3,P32,IF(F32=4,Q32,D32))))</f>
        <v>75</v>
      </c>
      <c r="T32" s="50"/>
    </row>
  </sheetData>
  <sheetProtection selectLockedCells="1"/>
  <mergeCells count="11">
    <mergeCell ref="A9:L9"/>
    <mergeCell ref="A31:L31"/>
    <mergeCell ref="H1:L1"/>
    <mergeCell ref="N1:Q1"/>
    <mergeCell ref="B1:B2"/>
    <mergeCell ref="D1:F1"/>
    <mergeCell ref="A3:T3"/>
    <mergeCell ref="A10:T10"/>
    <mergeCell ref="A17:T17"/>
    <mergeCell ref="A25:T25"/>
    <mergeCell ref="A27:T27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26"/>
  <sheetViews>
    <sheetView workbookViewId="0">
      <selection activeCell="B2" sqref="B2"/>
    </sheetView>
  </sheetViews>
  <sheetFormatPr defaultRowHeight="15" x14ac:dyDescent="0.25"/>
  <cols>
    <col min="1" max="1" width="70.85546875" customWidth="1"/>
    <col min="2" max="2" width="35.7109375" bestFit="1" customWidth="1"/>
  </cols>
  <sheetData>
    <row r="1" spans="1:2" ht="44.25" customHeight="1" thickBot="1" x14ac:dyDescent="0.3">
      <c r="A1" s="72" t="s">
        <v>93</v>
      </c>
    </row>
    <row r="2" spans="1:2" ht="17.25" x14ac:dyDescent="0.3">
      <c r="A2" s="20" t="s">
        <v>1</v>
      </c>
      <c r="B2" s="65">
        <v>50000</v>
      </c>
    </row>
    <row r="3" spans="1:2" ht="17.25" x14ac:dyDescent="0.3">
      <c r="A3" s="20" t="s">
        <v>0</v>
      </c>
      <c r="B3" s="64" t="s">
        <v>72</v>
      </c>
    </row>
    <row r="4" spans="1:2" ht="17.25" x14ac:dyDescent="0.3">
      <c r="A4" s="20" t="s">
        <v>55</v>
      </c>
      <c r="B4" s="63" t="s">
        <v>95</v>
      </c>
    </row>
    <row r="5" spans="1:2" ht="17.25" x14ac:dyDescent="0.3">
      <c r="A5" s="20" t="s">
        <v>29</v>
      </c>
      <c r="B5" s="66" t="s">
        <v>22</v>
      </c>
    </row>
    <row r="6" spans="1:2" ht="17.25" x14ac:dyDescent="0.3">
      <c r="A6" s="20" t="s">
        <v>81</v>
      </c>
      <c r="B6" s="68">
        <v>1</v>
      </c>
    </row>
    <row r="7" spans="1:2" ht="17.25" x14ac:dyDescent="0.3">
      <c r="A7" s="20" t="s">
        <v>67</v>
      </c>
      <c r="B7" s="66">
        <v>1</v>
      </c>
    </row>
    <row r="8" spans="1:2" ht="17.25" x14ac:dyDescent="0.3">
      <c r="A8" s="20" t="s">
        <v>68</v>
      </c>
      <c r="B8" s="66" t="s">
        <v>96</v>
      </c>
    </row>
    <row r="9" spans="1:2" ht="18" thickBot="1" x14ac:dyDescent="0.35">
      <c r="A9" s="20" t="s">
        <v>28</v>
      </c>
      <c r="B9" s="67" t="s">
        <v>22</v>
      </c>
    </row>
    <row r="11" spans="1:2" ht="18.75" x14ac:dyDescent="0.3">
      <c r="A11" s="73" t="s">
        <v>94</v>
      </c>
    </row>
    <row r="12" spans="1:2" ht="17.25" x14ac:dyDescent="0.3">
      <c r="A12" s="20"/>
    </row>
    <row r="13" spans="1:2" ht="30" x14ac:dyDescent="0.25">
      <c r="A13" s="69" t="s">
        <v>82</v>
      </c>
      <c r="B13" s="70">
        <f>IF(0.0038*B2&lt;=105,105,(0.0038*B2))</f>
        <v>190</v>
      </c>
    </row>
    <row r="14" spans="1:2" x14ac:dyDescent="0.25">
      <c r="A14" t="s">
        <v>83</v>
      </c>
      <c r="B14" s="71">
        <f>61.65</f>
        <v>61.65</v>
      </c>
    </row>
    <row r="15" spans="1:2" x14ac:dyDescent="0.25">
      <c r="A15" t="s">
        <v>84</v>
      </c>
      <c r="B15" s="71" t="str">
        <f>IF(B2&lt;45000,123.3,"")</f>
        <v/>
      </c>
    </row>
    <row r="16" spans="1:2" x14ac:dyDescent="0.25">
      <c r="A16" t="s">
        <v>85</v>
      </c>
      <c r="B16" s="70">
        <f>IF(B2&gt;=45000,0.00274*B2,"")</f>
        <v>137</v>
      </c>
    </row>
    <row r="18" spans="1:2" ht="18.75" x14ac:dyDescent="0.3">
      <c r="A18" s="73" t="s">
        <v>86</v>
      </c>
    </row>
    <row r="19" spans="1:2" ht="18.75" x14ac:dyDescent="0.3">
      <c r="A19" s="73"/>
    </row>
    <row r="20" spans="1:2" x14ac:dyDescent="0.25">
      <c r="A20" t="s">
        <v>87</v>
      </c>
      <c r="B20" s="70">
        <f>110</f>
        <v>110</v>
      </c>
    </row>
    <row r="21" spans="1:2" x14ac:dyDescent="0.25">
      <c r="A21" t="s">
        <v>88</v>
      </c>
      <c r="B21" s="70">
        <f>110</f>
        <v>110</v>
      </c>
    </row>
    <row r="22" spans="1:2" ht="30" x14ac:dyDescent="0.25">
      <c r="A22" s="1" t="s">
        <v>92</v>
      </c>
      <c r="B22" s="70">
        <v>110</v>
      </c>
    </row>
    <row r="23" spans="1:2" ht="30" x14ac:dyDescent="0.25">
      <c r="A23" s="1" t="s">
        <v>89</v>
      </c>
      <c r="B23" s="70">
        <f>110</f>
        <v>110</v>
      </c>
    </row>
    <row r="24" spans="1:2" x14ac:dyDescent="0.25">
      <c r="A24" t="s">
        <v>90</v>
      </c>
      <c r="B24" s="70">
        <f>61.65</f>
        <v>61.65</v>
      </c>
    </row>
    <row r="25" spans="1:2" x14ac:dyDescent="0.25">
      <c r="A25" t="s">
        <v>91</v>
      </c>
      <c r="B25" s="70">
        <f>B2*0.00274</f>
        <v>137</v>
      </c>
    </row>
    <row r="26" spans="1:2" ht="30" x14ac:dyDescent="0.25">
      <c r="A26" s="1" t="s">
        <v>97</v>
      </c>
      <c r="B26" s="70">
        <v>110</v>
      </c>
    </row>
  </sheetData>
  <dataValidations count="7">
    <dataValidation type="whole" allowBlank="1" showInputMessage="1" showErrorMessage="1" sqref="B6">
      <formula1>1</formula1>
      <formula2>25</formula2>
    </dataValidation>
    <dataValidation type="decimal" showInputMessage="1" showErrorMessage="1" errorTitle="Invalid estimated value" error="Please enter a value greater than $0.00" sqref="B2">
      <formula1>0</formula1>
      <formula2>100000000</formula2>
    </dataValidation>
    <dataValidation type="list" allowBlank="1" showInputMessage="1" showErrorMessage="1" sqref="B7">
      <formula1>"1,2,3"</formula1>
    </dataValidation>
    <dataValidation type="list" allowBlank="1" showInputMessage="1" showErrorMessage="1" sqref="B5 B9">
      <formula1>"NO, YES"</formula1>
    </dataValidation>
    <dataValidation type="list" allowBlank="1" showInputMessage="1" showErrorMessage="1" sqref="B3">
      <formula1>"Single Residential (Classes 1 &amp; 10), Non-Single Residential inc. Commercial (Classes 2 to 9)"</formula1>
    </dataValidation>
    <dataValidation type="list" showInputMessage="1" showErrorMessage="1" sqref="B4">
      <formula1>"OCCUPANCY PERMIT,BUILDING APPROVAL CERTIFICATE"</formula1>
    </dataValidation>
    <dataValidation type="list" allowBlank="1" showInputMessage="1" showErrorMessage="1" sqref="B8">
      <formula1>"NO, YES, NA"</formula1>
    </dataValidation>
  </dataValidations>
  <pageMargins left="0.7" right="0.7" top="0.75" bottom="0.75" header="0.3" footer="0.3"/>
  <pageSetup paperSize="9" orientation="portrait" r:id="rId1"/>
  <ignoredErrors>
    <ignoredError sqref="B24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Fee Calculator - Standard</vt:lpstr>
      <vt:lpstr>Calcs</vt:lpstr>
      <vt:lpstr>Building Approval Certificate</vt:lpstr>
      <vt:lpstr>'Fee Calculator - Standard'!Print_Area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Sarfraz Niaz</dc:creator>
  <cp:lastModifiedBy>Anjaly Vijayakrishnan</cp:lastModifiedBy>
  <cp:lastPrinted>2019-06-13T06:33:32Z</cp:lastPrinted>
  <dcterms:created xsi:type="dcterms:W3CDTF">2018-07-16T04:17:45Z</dcterms:created>
  <dcterms:modified xsi:type="dcterms:W3CDTF">2021-07-01T01:39:20Z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131eadc5-32df-44ab-a057-2722ffa8c022</vt:lpwstr>
  </property>
  <property fmtid="{D5CDD505-2E9C-101B-9397-08002B2CF9AE}" pid="3" name="SynergySoftUID">
    <vt:lpwstr>K5A4F6180</vt:lpwstr>
  </property>
</Properties>
</file>